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4 medição" sheetId="13" r:id="rId1"/>
    <sheet name="3 medição" sheetId="11" r:id="rId2"/>
    <sheet name="2 medição" sheetId="9" r:id="rId3"/>
    <sheet name="1 medição" sheetId="8" r:id="rId4"/>
    <sheet name="planilha principal" sheetId="1" r:id="rId5"/>
    <sheet name="compensação 2med" sheetId="10" r:id="rId6"/>
    <sheet name="compensação 1med" sheetId="7" r:id="rId7"/>
    <sheet name="cronograma" sheetId="2" r:id="rId8"/>
    <sheet name="memorial descritivo" sheetId="3" r:id="rId9"/>
    <sheet name="BDI" sheetId="4" r:id="rId10"/>
  </sheets>
  <externalReferences>
    <externalReference r:id="rId11"/>
  </externalReferences>
  <definedNames>
    <definedName name="_xlnm.Print_Area" localSheetId="3">'1 medição'!$A:$H</definedName>
    <definedName name="_xlnm.Print_Area" localSheetId="2">'2 medição'!$A:$H</definedName>
    <definedName name="_xlnm.Print_Area" localSheetId="1">'3 medição'!$A:$N</definedName>
    <definedName name="_xlnm.Print_Area" localSheetId="0">'4 medição'!$A:$N</definedName>
    <definedName name="_xlnm.Print_Area" localSheetId="9">BDI!$A$1:$J$50</definedName>
    <definedName name="_xlnm.Print_Area" localSheetId="6">'compensação 1med'!$A$1:$H$19</definedName>
    <definedName name="_xlnm.Print_Area" localSheetId="5">'compensação 2med'!$A$1:$H$27</definedName>
    <definedName name="_xlnm.Print_Area" localSheetId="7">cronograma!$A$1:$K$37</definedName>
    <definedName name="_xlnm.Print_Area" localSheetId="8">'memorial descritivo'!$A$1:$G$81</definedName>
    <definedName name="_xlnm.Print_Area" localSheetId="4">'planilha principal'!$A:$H</definedName>
    <definedName name="DESONERACAO" hidden="1">IF(OR(Import.Desoneracao="DESONERADO",Import.Desoneracao="SIM"),"SIM","NÃO")</definedName>
    <definedName name="Import.Desoneracao" hidden="1">OFFSET([1]DADOS!$G$18,0,-1)</definedName>
    <definedName name="Import.RespOrçamento" hidden="1">[1]DADOS!$F$22:$F$24</definedName>
    <definedName name="_xlnm.Print_Titles" localSheetId="3">'1 medição'!$1:$9</definedName>
    <definedName name="_xlnm.Print_Titles" localSheetId="2">'2 medição'!$1:$9</definedName>
    <definedName name="_xlnm.Print_Titles" localSheetId="1">'3 medição'!$1:$9</definedName>
    <definedName name="_xlnm.Print_Titles" localSheetId="0">'4 medição'!$1:$9</definedName>
    <definedName name="_xlnm.Print_Titles" localSheetId="4">'planilha principal'!$1:$9</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79" i="13" l="1"/>
  <c r="W78" i="13"/>
  <c r="W73" i="13"/>
  <c r="W74" i="13"/>
  <c r="W75" i="13"/>
  <c r="W76" i="13"/>
  <c r="W77" i="13"/>
  <c r="W72" i="13"/>
  <c r="W71" i="13"/>
  <c r="W64" i="13"/>
  <c r="W65" i="13"/>
  <c r="W66" i="13"/>
  <c r="W67" i="13"/>
  <c r="W68" i="13"/>
  <c r="W69" i="13"/>
  <c r="W70" i="13"/>
  <c r="W63" i="13"/>
  <c r="W62" i="13"/>
  <c r="W58" i="13"/>
  <c r="W59" i="13"/>
  <c r="W60" i="13"/>
  <c r="W61" i="13"/>
  <c r="W57" i="13"/>
  <c r="W56" i="13"/>
  <c r="W50" i="13"/>
  <c r="W51" i="13"/>
  <c r="W52" i="13"/>
  <c r="W53" i="13"/>
  <c r="W54" i="13"/>
  <c r="W55" i="13"/>
  <c r="W49" i="13"/>
  <c r="W48" i="13"/>
  <c r="W47" i="13"/>
  <c r="W46" i="13"/>
  <c r="W44" i="13"/>
  <c r="W45" i="13"/>
  <c r="W43" i="13"/>
  <c r="W42" i="13"/>
  <c r="W29" i="13"/>
  <c r="W30" i="13"/>
  <c r="W31" i="13"/>
  <c r="W32" i="13"/>
  <c r="W33" i="13"/>
  <c r="W34" i="13"/>
  <c r="W35" i="13"/>
  <c r="W36" i="13"/>
  <c r="W37" i="13"/>
  <c r="W38" i="13"/>
  <c r="W39" i="13"/>
  <c r="W40" i="13"/>
  <c r="W41" i="13"/>
  <c r="W28" i="13"/>
  <c r="W27" i="13"/>
  <c r="W22" i="13"/>
  <c r="W23" i="13"/>
  <c r="W24" i="13"/>
  <c r="W25" i="13"/>
  <c r="W26" i="13"/>
  <c r="W21" i="13"/>
  <c r="W20" i="13"/>
  <c r="W17" i="13"/>
  <c r="W18" i="13"/>
  <c r="W19" i="13"/>
  <c r="W16" i="13"/>
  <c r="W14" i="13"/>
  <c r="W15" i="13"/>
  <c r="W13" i="13"/>
  <c r="F52" i="13" l="1"/>
  <c r="H52" i="13" s="1"/>
  <c r="M52" i="13" s="1"/>
  <c r="F21" i="13" l="1"/>
  <c r="H21" i="13" s="1"/>
  <c r="F25" i="13"/>
  <c r="H25" i="13" s="1"/>
  <c r="F29" i="13"/>
  <c r="H29" i="13" s="1"/>
  <c r="F32" i="13"/>
  <c r="H32" i="13" s="1"/>
  <c r="I32" i="13" s="1"/>
  <c r="F33" i="13"/>
  <c r="H33" i="13" s="1"/>
  <c r="M33" i="13" s="1"/>
  <c r="F36" i="13"/>
  <c r="H36" i="13" s="1"/>
  <c r="I36" i="13" s="1"/>
  <c r="N36" i="13" s="1"/>
  <c r="F37" i="13"/>
  <c r="H37" i="13" s="1"/>
  <c r="F40" i="13"/>
  <c r="H40" i="13" s="1"/>
  <c r="I40" i="13" s="1"/>
  <c r="N40" i="13" s="1"/>
  <c r="F41" i="13"/>
  <c r="H41" i="13" s="1"/>
  <c r="F44" i="13"/>
  <c r="H44" i="13" s="1"/>
  <c r="I44" i="13" s="1"/>
  <c r="F45" i="13"/>
  <c r="H45" i="13" s="1"/>
  <c r="I45" i="13" s="1"/>
  <c r="N45" i="13" s="1"/>
  <c r="F48" i="13"/>
  <c r="H48" i="13" s="1"/>
  <c r="I48" i="13" s="1"/>
  <c r="N48" i="13" s="1"/>
  <c r="F53" i="13"/>
  <c r="H53" i="13" s="1"/>
  <c r="H57" i="13"/>
  <c r="H60" i="13"/>
  <c r="H61" i="13"/>
  <c r="I61" i="13" s="1"/>
  <c r="H65" i="13"/>
  <c r="I65" i="13" s="1"/>
  <c r="H69" i="13"/>
  <c r="I69" i="13" s="1"/>
  <c r="H72" i="13"/>
  <c r="H73" i="13"/>
  <c r="I73" i="13" s="1"/>
  <c r="H76" i="13"/>
  <c r="F77" i="13"/>
  <c r="H77" i="13" s="1"/>
  <c r="I77" i="13" s="1"/>
  <c r="J79" i="13"/>
  <c r="K79" i="13" s="1"/>
  <c r="H79" i="13"/>
  <c r="I79" i="13" s="1"/>
  <c r="L78" i="13"/>
  <c r="F78" i="13"/>
  <c r="H78" i="13" s="1"/>
  <c r="I78" i="13" s="1"/>
  <c r="N78" i="13" s="1"/>
  <c r="L77" i="13"/>
  <c r="K77" i="13"/>
  <c r="J77" i="13"/>
  <c r="L76" i="13"/>
  <c r="K76" i="13"/>
  <c r="J76" i="13"/>
  <c r="J75" i="13"/>
  <c r="K75" i="13" s="1"/>
  <c r="H75" i="13"/>
  <c r="I75" i="13" s="1"/>
  <c r="N75" i="13" s="1"/>
  <c r="K74" i="13"/>
  <c r="J74" i="13"/>
  <c r="H74" i="13"/>
  <c r="I74" i="13" s="1"/>
  <c r="L73" i="13"/>
  <c r="K73" i="13"/>
  <c r="J73" i="13"/>
  <c r="L72" i="13"/>
  <c r="K72" i="13"/>
  <c r="J72" i="13"/>
  <c r="K70" i="13"/>
  <c r="J70" i="13"/>
  <c r="H70" i="13"/>
  <c r="I70" i="13" s="1"/>
  <c r="L69" i="13"/>
  <c r="K69" i="13"/>
  <c r="J69" i="13"/>
  <c r="L68" i="13"/>
  <c r="K68" i="13"/>
  <c r="J68" i="13"/>
  <c r="H68" i="13"/>
  <c r="J67" i="13"/>
  <c r="K67" i="13" s="1"/>
  <c r="F67" i="13"/>
  <c r="H67" i="13" s="1"/>
  <c r="I67" i="13" s="1"/>
  <c r="N67" i="13" s="1"/>
  <c r="K66" i="13"/>
  <c r="J66" i="13"/>
  <c r="F66" i="13"/>
  <c r="H66" i="13" s="1"/>
  <c r="I66" i="13" s="1"/>
  <c r="L65" i="13"/>
  <c r="K65" i="13"/>
  <c r="J65" i="13"/>
  <c r="L64" i="13"/>
  <c r="K64" i="13"/>
  <c r="J64" i="13"/>
  <c r="F64" i="13"/>
  <c r="H64" i="13" s="1"/>
  <c r="J63" i="13"/>
  <c r="K63" i="13" s="1"/>
  <c r="F63" i="13"/>
  <c r="H63" i="13" s="1"/>
  <c r="I63" i="13" s="1"/>
  <c r="N63" i="13" s="1"/>
  <c r="L61" i="13"/>
  <c r="K61" i="13"/>
  <c r="J61" i="13"/>
  <c r="L60" i="13"/>
  <c r="K60" i="13"/>
  <c r="J60" i="13"/>
  <c r="J59" i="13"/>
  <c r="K59" i="13" s="1"/>
  <c r="H59" i="13"/>
  <c r="I59" i="13" s="1"/>
  <c r="N59" i="13" s="1"/>
  <c r="K58" i="13"/>
  <c r="J58" i="13"/>
  <c r="H58" i="13"/>
  <c r="I58" i="13" s="1"/>
  <c r="Q57" i="13"/>
  <c r="L57" i="13"/>
  <c r="K57" i="13"/>
  <c r="J57" i="13"/>
  <c r="K55" i="13"/>
  <c r="J55" i="13"/>
  <c r="F55" i="13"/>
  <c r="H55" i="13" s="1"/>
  <c r="I55" i="13" s="1"/>
  <c r="L54" i="13"/>
  <c r="K54" i="13"/>
  <c r="J54" i="13"/>
  <c r="F54" i="13"/>
  <c r="H54" i="13" s="1"/>
  <c r="I54" i="13" s="1"/>
  <c r="L53" i="13"/>
  <c r="K53" i="13"/>
  <c r="J53" i="13"/>
  <c r="J52" i="13"/>
  <c r="K52" i="13" s="1"/>
  <c r="I52" i="13"/>
  <c r="N52" i="13" s="1"/>
  <c r="J51" i="13"/>
  <c r="K51" i="13" s="1"/>
  <c r="F51" i="13"/>
  <c r="H51" i="13" s="1"/>
  <c r="I51" i="13" s="1"/>
  <c r="N51" i="13" s="1"/>
  <c r="K50" i="13"/>
  <c r="J50" i="13"/>
  <c r="F50" i="13"/>
  <c r="H50" i="13" s="1"/>
  <c r="I50" i="13" s="1"/>
  <c r="L49" i="13"/>
  <c r="K49" i="13"/>
  <c r="J49" i="13"/>
  <c r="F49" i="13"/>
  <c r="H49" i="13" s="1"/>
  <c r="I49" i="13" s="1"/>
  <c r="L48" i="13"/>
  <c r="L47" i="13"/>
  <c r="K47" i="13"/>
  <c r="J47" i="13"/>
  <c r="F47" i="13"/>
  <c r="H47" i="13" s="1"/>
  <c r="I47" i="13" s="1"/>
  <c r="L46" i="13"/>
  <c r="L10" i="13" s="1"/>
  <c r="K46" i="13"/>
  <c r="J46" i="13"/>
  <c r="H46" i="13"/>
  <c r="J45" i="13"/>
  <c r="K45" i="13" s="1"/>
  <c r="K44" i="13"/>
  <c r="J44" i="13"/>
  <c r="F43" i="13"/>
  <c r="H43" i="13" s="1"/>
  <c r="M43" i="13" s="1"/>
  <c r="S43" i="13"/>
  <c r="L43" i="13"/>
  <c r="K43" i="13"/>
  <c r="J43" i="13"/>
  <c r="L42" i="13"/>
  <c r="F42" i="13"/>
  <c r="H42" i="13" s="1"/>
  <c r="L41" i="13"/>
  <c r="K41" i="13"/>
  <c r="J41" i="13"/>
  <c r="J40" i="13"/>
  <c r="K40" i="13" s="1"/>
  <c r="K39" i="13"/>
  <c r="J39" i="13"/>
  <c r="F39" i="13"/>
  <c r="H39" i="13" s="1"/>
  <c r="I39" i="13" s="1"/>
  <c r="L38" i="13"/>
  <c r="K38" i="13"/>
  <c r="J38" i="13"/>
  <c r="F38" i="13"/>
  <c r="H38" i="13" s="1"/>
  <c r="I38" i="13" s="1"/>
  <c r="L37" i="13"/>
  <c r="K37" i="13"/>
  <c r="J37" i="13"/>
  <c r="J36" i="13"/>
  <c r="K36" i="13" s="1"/>
  <c r="K35" i="13"/>
  <c r="J35" i="13"/>
  <c r="F35" i="13"/>
  <c r="H35" i="13" s="1"/>
  <c r="I35" i="13" s="1"/>
  <c r="L34" i="13"/>
  <c r="K34" i="13"/>
  <c r="J34" i="13"/>
  <c r="F34" i="13"/>
  <c r="H34" i="13" s="1"/>
  <c r="I34" i="13" s="1"/>
  <c r="L33" i="13"/>
  <c r="K33" i="13"/>
  <c r="J33" i="13"/>
  <c r="J32" i="13"/>
  <c r="K32" i="13" s="1"/>
  <c r="L32" i="13" s="1"/>
  <c r="J31" i="13"/>
  <c r="K31" i="13" s="1"/>
  <c r="F31" i="13"/>
  <c r="H31" i="13" s="1"/>
  <c r="I31" i="13" s="1"/>
  <c r="K30" i="13"/>
  <c r="J30" i="13"/>
  <c r="F30" i="13"/>
  <c r="H30" i="13" s="1"/>
  <c r="I30" i="13" s="1"/>
  <c r="L29" i="13"/>
  <c r="K29" i="13"/>
  <c r="J29" i="13"/>
  <c r="J28" i="13"/>
  <c r="K28" i="13" s="1"/>
  <c r="L28" i="13" s="1"/>
  <c r="F28" i="13"/>
  <c r="H28" i="13" s="1"/>
  <c r="I28" i="13" s="1"/>
  <c r="N28" i="13" s="1"/>
  <c r="L26" i="13"/>
  <c r="K26" i="13"/>
  <c r="J26" i="13"/>
  <c r="F26" i="13"/>
  <c r="H26" i="13" s="1"/>
  <c r="I26" i="13" s="1"/>
  <c r="L25" i="13"/>
  <c r="K25" i="13"/>
  <c r="J25" i="13"/>
  <c r="L24" i="13"/>
  <c r="J24" i="13"/>
  <c r="K24" i="13" s="1"/>
  <c r="F24" i="13"/>
  <c r="H24" i="13" s="1"/>
  <c r="I24" i="13" s="1"/>
  <c r="N24" i="13" s="1"/>
  <c r="K23" i="13"/>
  <c r="L23" i="13" s="1"/>
  <c r="J23" i="13"/>
  <c r="F23" i="13"/>
  <c r="H23" i="13" s="1"/>
  <c r="I23" i="13" s="1"/>
  <c r="F22" i="13"/>
  <c r="H22" i="13" s="1"/>
  <c r="I22" i="13" s="1"/>
  <c r="J22" i="13"/>
  <c r="K22" i="13" s="1"/>
  <c r="K21" i="13"/>
  <c r="J21" i="13"/>
  <c r="F19" i="13"/>
  <c r="H19" i="13" s="1"/>
  <c r="I19" i="13" s="1"/>
  <c r="J19" i="13"/>
  <c r="K19" i="13" s="1"/>
  <c r="T18" i="13"/>
  <c r="F18" i="13" s="1"/>
  <c r="H18" i="13" s="1"/>
  <c r="J18" i="13"/>
  <c r="K18" i="13" s="1"/>
  <c r="E18" i="13"/>
  <c r="X17" i="13"/>
  <c r="T17" i="13"/>
  <c r="J17" i="13"/>
  <c r="K17" i="13" s="1"/>
  <c r="E17" i="13"/>
  <c r="J16" i="13"/>
  <c r="K16" i="13" s="1"/>
  <c r="F16" i="13"/>
  <c r="H16" i="13" s="1"/>
  <c r="I16" i="13" s="1"/>
  <c r="S15" i="13"/>
  <c r="F15" i="13" s="1"/>
  <c r="H15" i="13" s="1"/>
  <c r="I15" i="13" s="1"/>
  <c r="J15" i="13"/>
  <c r="K15" i="13" s="1"/>
  <c r="N14" i="13"/>
  <c r="L14" i="13"/>
  <c r="J13" i="13"/>
  <c r="K13" i="13" s="1"/>
  <c r="F13" i="13"/>
  <c r="H13" i="13" s="1"/>
  <c r="I13" i="13" s="1"/>
  <c r="N38" i="13" l="1"/>
  <c r="M78" i="13"/>
  <c r="M37" i="13"/>
  <c r="I37" i="13"/>
  <c r="N37" i="13" s="1"/>
  <c r="M29" i="13"/>
  <c r="I29" i="13"/>
  <c r="N29" i="13" s="1"/>
  <c r="I72" i="13"/>
  <c r="N72" i="13" s="1"/>
  <c r="M72" i="13"/>
  <c r="M60" i="13"/>
  <c r="I60" i="13"/>
  <c r="M46" i="13"/>
  <c r="I46" i="13"/>
  <c r="N46" i="13" s="1"/>
  <c r="M64" i="13"/>
  <c r="I64" i="13"/>
  <c r="N64" i="13" s="1"/>
  <c r="M57" i="13"/>
  <c r="I57" i="13"/>
  <c r="N57" i="13" s="1"/>
  <c r="M53" i="13"/>
  <c r="I53" i="13"/>
  <c r="N53" i="13" s="1"/>
  <c r="M41" i="13"/>
  <c r="I41" i="13"/>
  <c r="N41" i="13" s="1"/>
  <c r="M68" i="13"/>
  <c r="I68" i="13"/>
  <c r="N68" i="13" s="1"/>
  <c r="M76" i="13"/>
  <c r="I76" i="13"/>
  <c r="N76" i="13" s="1"/>
  <c r="N61" i="13"/>
  <c r="N77" i="13"/>
  <c r="F17" i="13"/>
  <c r="H17" i="13" s="1"/>
  <c r="M17" i="13" s="1"/>
  <c r="N69" i="13"/>
  <c r="N73" i="13"/>
  <c r="N49" i="13"/>
  <c r="N54" i="13"/>
  <c r="M21" i="13"/>
  <c r="I21" i="13"/>
  <c r="N21" i="13" s="1"/>
  <c r="M31" i="13"/>
  <c r="L31" i="13"/>
  <c r="N31" i="13"/>
  <c r="M15" i="13"/>
  <c r="N15" i="13"/>
  <c r="L15" i="13"/>
  <c r="L19" i="13"/>
  <c r="N19" i="13"/>
  <c r="M19" i="13"/>
  <c r="I18" i="13"/>
  <c r="N18" i="13" s="1"/>
  <c r="L16" i="13"/>
  <c r="N16" i="13"/>
  <c r="M16" i="13"/>
  <c r="M22" i="13"/>
  <c r="N22" i="13"/>
  <c r="L22" i="13"/>
  <c r="M13" i="13"/>
  <c r="N13" i="13"/>
  <c r="L13" i="13"/>
  <c r="L17" i="13"/>
  <c r="M18" i="13"/>
  <c r="L18" i="13"/>
  <c r="M25" i="13"/>
  <c r="I25" i="13"/>
  <c r="N35" i="13"/>
  <c r="M35" i="13"/>
  <c r="L35" i="13"/>
  <c r="M23" i="13"/>
  <c r="M24" i="13"/>
  <c r="N30" i="13"/>
  <c r="M30" i="13"/>
  <c r="M32" i="13"/>
  <c r="M36" i="13"/>
  <c r="L36" i="13"/>
  <c r="M40" i="13"/>
  <c r="L40" i="13"/>
  <c r="M42" i="13"/>
  <c r="I42" i="13"/>
  <c r="N42" i="13" s="1"/>
  <c r="I43" i="13"/>
  <c r="N43" i="13" s="1"/>
  <c r="N47" i="13"/>
  <c r="M51" i="13"/>
  <c r="L51" i="13"/>
  <c r="N55" i="13"/>
  <c r="M55" i="13"/>
  <c r="L55" i="13"/>
  <c r="N58" i="13"/>
  <c r="M58" i="13"/>
  <c r="L58" i="13"/>
  <c r="N60" i="13"/>
  <c r="N65" i="13"/>
  <c r="N74" i="13"/>
  <c r="M74" i="13"/>
  <c r="L74" i="13"/>
  <c r="N79" i="13"/>
  <c r="M79" i="13"/>
  <c r="N23" i="13"/>
  <c r="L30" i="13"/>
  <c r="N32" i="13"/>
  <c r="I33" i="13"/>
  <c r="N33" i="13" s="1"/>
  <c r="N44" i="13"/>
  <c r="M44" i="13"/>
  <c r="L44" i="13"/>
  <c r="M48" i="13"/>
  <c r="L52" i="13"/>
  <c r="M59" i="13"/>
  <c r="L59" i="13"/>
  <c r="N66" i="13"/>
  <c r="M66" i="13"/>
  <c r="L66" i="13"/>
  <c r="N70" i="13"/>
  <c r="M70" i="13"/>
  <c r="L70" i="13"/>
  <c r="M75" i="13"/>
  <c r="L75" i="13"/>
  <c r="L79" i="13"/>
  <c r="N25" i="13"/>
  <c r="N39" i="13"/>
  <c r="M39" i="13"/>
  <c r="L39" i="13"/>
  <c r="N50" i="13"/>
  <c r="M50" i="13"/>
  <c r="L50" i="13"/>
  <c r="L21" i="13"/>
  <c r="N26" i="13"/>
  <c r="M26" i="13"/>
  <c r="M28" i="13"/>
  <c r="N34" i="13"/>
  <c r="M34" i="13"/>
  <c r="M45" i="13"/>
  <c r="L45" i="13"/>
  <c r="M63" i="13"/>
  <c r="L63" i="13"/>
  <c r="M67" i="13"/>
  <c r="L67" i="13"/>
  <c r="M38" i="13"/>
  <c r="M47" i="13"/>
  <c r="M49" i="13"/>
  <c r="M54" i="13"/>
  <c r="M61" i="13"/>
  <c r="M65" i="13"/>
  <c r="M69" i="13"/>
  <c r="M73" i="13"/>
  <c r="M77" i="13"/>
  <c r="L14" i="11"/>
  <c r="L15" i="11"/>
  <c r="L16" i="11"/>
  <c r="L17" i="11"/>
  <c r="L18" i="11"/>
  <c r="L19" i="11"/>
  <c r="L21" i="11"/>
  <c r="L22" i="11"/>
  <c r="L23" i="11"/>
  <c r="L24" i="11"/>
  <c r="L25" i="11"/>
  <c r="L26"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7" i="11"/>
  <c r="L58" i="11"/>
  <c r="L59" i="11"/>
  <c r="L60" i="11"/>
  <c r="L61" i="11"/>
  <c r="L63" i="11"/>
  <c r="L64" i="11"/>
  <c r="L65" i="11"/>
  <c r="L66" i="11"/>
  <c r="L67" i="11"/>
  <c r="L68" i="11"/>
  <c r="L69" i="11"/>
  <c r="L70" i="11"/>
  <c r="L72" i="11"/>
  <c r="L73" i="11"/>
  <c r="L74" i="11"/>
  <c r="L75" i="11"/>
  <c r="L76" i="11"/>
  <c r="L77" i="11"/>
  <c r="L78" i="11"/>
  <c r="L79" i="11"/>
  <c r="L13" i="11"/>
  <c r="N14" i="11"/>
  <c r="N15" i="11"/>
  <c r="N16" i="11"/>
  <c r="N18" i="11"/>
  <c r="N19" i="11"/>
  <c r="N22" i="11"/>
  <c r="N26" i="11"/>
  <c r="N28" i="11"/>
  <c r="N29" i="11"/>
  <c r="N30" i="11"/>
  <c r="N31" i="11"/>
  <c r="N32" i="11"/>
  <c r="N33" i="11"/>
  <c r="N34" i="11"/>
  <c r="N35" i="11"/>
  <c r="N36" i="11"/>
  <c r="N37" i="11"/>
  <c r="N38" i="11"/>
  <c r="N39" i="11"/>
  <c r="N40" i="11"/>
  <c r="N41" i="11"/>
  <c r="N42" i="11"/>
  <c r="N43" i="11"/>
  <c r="N46" i="11"/>
  <c r="N47" i="11"/>
  <c r="N48" i="11"/>
  <c r="N49" i="11"/>
  <c r="N58" i="11"/>
  <c r="N59" i="11"/>
  <c r="N60" i="11"/>
  <c r="N61" i="11"/>
  <c r="N64" i="11"/>
  <c r="N65" i="11"/>
  <c r="N68" i="11"/>
  <c r="N69" i="11"/>
  <c r="N70" i="11"/>
  <c r="N72" i="11"/>
  <c r="N73" i="11"/>
  <c r="N74" i="11"/>
  <c r="N75" i="11"/>
  <c r="N76" i="11"/>
  <c r="N78" i="11"/>
  <c r="N79" i="11"/>
  <c r="N13" i="11"/>
  <c r="M15" i="11"/>
  <c r="M16" i="11"/>
  <c r="M18" i="11"/>
  <c r="M19" i="11"/>
  <c r="M21" i="11"/>
  <c r="M25" i="11"/>
  <c r="M28" i="11"/>
  <c r="M29" i="11"/>
  <c r="M30" i="11"/>
  <c r="M31" i="11"/>
  <c r="M32" i="11"/>
  <c r="M33" i="11"/>
  <c r="M34" i="11"/>
  <c r="M35" i="11"/>
  <c r="M36" i="11"/>
  <c r="M37" i="11"/>
  <c r="M38" i="11"/>
  <c r="M39" i="11"/>
  <c r="M40" i="11"/>
  <c r="M41" i="11"/>
  <c r="M42" i="11"/>
  <c r="M43" i="11"/>
  <c r="M46" i="11"/>
  <c r="M47" i="11"/>
  <c r="M48" i="11"/>
  <c r="M49" i="11"/>
  <c r="M50" i="11"/>
  <c r="M52" i="11"/>
  <c r="M55" i="11"/>
  <c r="M58" i="11"/>
  <c r="M59" i="11"/>
  <c r="M60" i="11"/>
  <c r="M61" i="11"/>
  <c r="M64" i="11"/>
  <c r="M65" i="11"/>
  <c r="M68" i="11"/>
  <c r="M69" i="11"/>
  <c r="M70" i="11"/>
  <c r="M72" i="11"/>
  <c r="M73" i="11"/>
  <c r="M74" i="11"/>
  <c r="M75" i="11"/>
  <c r="M76" i="11"/>
  <c r="M78" i="11"/>
  <c r="M79" i="11"/>
  <c r="H15" i="11"/>
  <c r="I15" i="11"/>
  <c r="H16" i="11"/>
  <c r="I16" i="11" s="1"/>
  <c r="H17" i="11"/>
  <c r="M17" i="11" s="1"/>
  <c r="H18" i="11"/>
  <c r="I18" i="11" s="1"/>
  <c r="H19" i="11"/>
  <c r="I19" i="11"/>
  <c r="H21" i="11"/>
  <c r="I21" i="11"/>
  <c r="N21" i="11" s="1"/>
  <c r="H22" i="11"/>
  <c r="I22" i="11" s="1"/>
  <c r="H23" i="11"/>
  <c r="M23" i="11" s="1"/>
  <c r="I23" i="11"/>
  <c r="N23" i="11" s="1"/>
  <c r="H24" i="11"/>
  <c r="I24" i="11" s="1"/>
  <c r="N24" i="11" s="1"/>
  <c r="H25" i="11"/>
  <c r="I25" i="11" s="1"/>
  <c r="N25" i="11" s="1"/>
  <c r="H26" i="11"/>
  <c r="I26" i="11" s="1"/>
  <c r="H28" i="11"/>
  <c r="I28" i="11" s="1"/>
  <c r="H29" i="11"/>
  <c r="I29" i="11"/>
  <c r="H30" i="11"/>
  <c r="I30" i="11" s="1"/>
  <c r="H31" i="11"/>
  <c r="I31" i="11"/>
  <c r="H32" i="11"/>
  <c r="I32" i="11" s="1"/>
  <c r="H33" i="11"/>
  <c r="I33" i="11"/>
  <c r="H34" i="11"/>
  <c r="I34" i="11" s="1"/>
  <c r="H35" i="11"/>
  <c r="I35" i="11"/>
  <c r="H36" i="11"/>
  <c r="I36" i="11" s="1"/>
  <c r="H37" i="11"/>
  <c r="I37" i="11"/>
  <c r="H38" i="11"/>
  <c r="I38" i="11" s="1"/>
  <c r="H39" i="11"/>
  <c r="I39" i="11"/>
  <c r="H40" i="11"/>
  <c r="I40" i="11"/>
  <c r="H41" i="11"/>
  <c r="I41" i="11"/>
  <c r="H42" i="11"/>
  <c r="I42" i="11"/>
  <c r="H43" i="11"/>
  <c r="I43" i="11"/>
  <c r="H44" i="11"/>
  <c r="I44" i="11" s="1"/>
  <c r="N44" i="11" s="1"/>
  <c r="H45" i="11"/>
  <c r="M45" i="11" s="1"/>
  <c r="I45" i="11"/>
  <c r="N45" i="11" s="1"/>
  <c r="H46" i="11"/>
  <c r="I46" i="11"/>
  <c r="H47" i="11"/>
  <c r="I47" i="11"/>
  <c r="H48" i="11"/>
  <c r="I48" i="11"/>
  <c r="H49" i="11"/>
  <c r="I49" i="11"/>
  <c r="H50" i="11"/>
  <c r="I50" i="11"/>
  <c r="N50" i="11" s="1"/>
  <c r="H51" i="11"/>
  <c r="I51" i="11" s="1"/>
  <c r="N51" i="11" s="1"/>
  <c r="I52" i="11"/>
  <c r="N52" i="11" s="1"/>
  <c r="H53" i="11"/>
  <c r="M53" i="11" s="1"/>
  <c r="H54" i="11"/>
  <c r="M54" i="11" s="1"/>
  <c r="H55" i="11"/>
  <c r="I55" i="11" s="1"/>
  <c r="N55" i="11" s="1"/>
  <c r="H57" i="11"/>
  <c r="I57" i="11" s="1"/>
  <c r="N57" i="11" s="1"/>
  <c r="H58" i="11"/>
  <c r="I58" i="11"/>
  <c r="H59" i="11"/>
  <c r="I59" i="11"/>
  <c r="H60" i="11"/>
  <c r="I60" i="11"/>
  <c r="H61" i="11"/>
  <c r="I61" i="11"/>
  <c r="H63" i="11"/>
  <c r="M63" i="11" s="1"/>
  <c r="H64" i="11"/>
  <c r="I64" i="11"/>
  <c r="H65" i="11"/>
  <c r="I65" i="11"/>
  <c r="H66" i="11"/>
  <c r="M66" i="11" s="1"/>
  <c r="I66" i="11"/>
  <c r="N66" i="11" s="1"/>
  <c r="H67" i="11"/>
  <c r="M67" i="11" s="1"/>
  <c r="I67" i="11"/>
  <c r="N67" i="11" s="1"/>
  <c r="H68" i="11"/>
  <c r="I68" i="11"/>
  <c r="H69" i="11"/>
  <c r="I69" i="11"/>
  <c r="H70" i="11"/>
  <c r="I70" i="11"/>
  <c r="H72" i="11"/>
  <c r="I72" i="11"/>
  <c r="H73" i="11"/>
  <c r="I73" i="11"/>
  <c r="H74" i="11"/>
  <c r="I74" i="11"/>
  <c r="H75" i="11"/>
  <c r="I75" i="11"/>
  <c r="H76" i="11"/>
  <c r="I76" i="11"/>
  <c r="H77" i="11"/>
  <c r="M77" i="11" s="1"/>
  <c r="I77" i="11"/>
  <c r="N77" i="11" s="1"/>
  <c r="H78" i="11"/>
  <c r="I78" i="11"/>
  <c r="H79" i="11"/>
  <c r="I79" i="11"/>
  <c r="M13" i="11"/>
  <c r="H13" i="11"/>
  <c r="F15" i="11"/>
  <c r="F16" i="11"/>
  <c r="F17" i="11"/>
  <c r="F18" i="11"/>
  <c r="F19" i="11"/>
  <c r="F21" i="11"/>
  <c r="F22" i="11"/>
  <c r="F23" i="11"/>
  <c r="F24" i="11"/>
  <c r="F25" i="11"/>
  <c r="F26"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7" i="11"/>
  <c r="F58" i="11"/>
  <c r="F59" i="11"/>
  <c r="F60" i="11"/>
  <c r="F61" i="11"/>
  <c r="F63" i="11"/>
  <c r="F64" i="11"/>
  <c r="F65" i="11"/>
  <c r="F66" i="11"/>
  <c r="F67" i="11"/>
  <c r="F68" i="11"/>
  <c r="F69" i="11"/>
  <c r="F70" i="11"/>
  <c r="F72" i="11"/>
  <c r="F73" i="11"/>
  <c r="F74" i="11"/>
  <c r="F75" i="11"/>
  <c r="F76" i="11"/>
  <c r="F77" i="11"/>
  <c r="F78" i="11"/>
  <c r="F79" i="11"/>
  <c r="F13" i="11"/>
  <c r="U14" i="11"/>
  <c r="U15" i="11"/>
  <c r="U16" i="11"/>
  <c r="U17" i="11"/>
  <c r="U18" i="11"/>
  <c r="U19" i="11"/>
  <c r="U20" i="11"/>
  <c r="U21" i="11"/>
  <c r="U22" i="11"/>
  <c r="U23" i="11"/>
  <c r="U24" i="11"/>
  <c r="U25" i="11"/>
  <c r="U26" i="11"/>
  <c r="U27" i="11"/>
  <c r="U28" i="11"/>
  <c r="U29" i="11"/>
  <c r="U30" i="11"/>
  <c r="U31" i="11"/>
  <c r="U32" i="11"/>
  <c r="U33" i="11"/>
  <c r="U34" i="11"/>
  <c r="U35" i="11"/>
  <c r="U36" i="11"/>
  <c r="U37" i="11"/>
  <c r="U38" i="11"/>
  <c r="U39" i="11"/>
  <c r="U40" i="11"/>
  <c r="U41" i="11"/>
  <c r="U42" i="11"/>
  <c r="U43" i="11"/>
  <c r="U44" i="11"/>
  <c r="U45" i="11"/>
  <c r="U46" i="11"/>
  <c r="U47" i="11"/>
  <c r="U48" i="11"/>
  <c r="U49" i="11"/>
  <c r="U50" i="11"/>
  <c r="U51" i="11"/>
  <c r="U52" i="11"/>
  <c r="U53" i="11"/>
  <c r="U54" i="11"/>
  <c r="U55" i="11"/>
  <c r="U56" i="11"/>
  <c r="U57" i="11"/>
  <c r="U58" i="11"/>
  <c r="U59" i="11"/>
  <c r="U60" i="11"/>
  <c r="U61" i="11"/>
  <c r="U62" i="11"/>
  <c r="U63" i="11"/>
  <c r="U64" i="11"/>
  <c r="U65" i="11"/>
  <c r="U66" i="11"/>
  <c r="U67" i="11"/>
  <c r="U68" i="11"/>
  <c r="U69" i="11"/>
  <c r="U70" i="11"/>
  <c r="U71" i="11"/>
  <c r="U72" i="11"/>
  <c r="U73" i="11"/>
  <c r="U74" i="11"/>
  <c r="U75" i="11"/>
  <c r="U76" i="11"/>
  <c r="U77" i="11"/>
  <c r="U78" i="11"/>
  <c r="U79" i="11"/>
  <c r="U13" i="11"/>
  <c r="T18" i="11"/>
  <c r="T17" i="11"/>
  <c r="I13" i="11"/>
  <c r="E18" i="11"/>
  <c r="E17" i="11"/>
  <c r="N10" i="13" l="1"/>
  <c r="I17" i="13"/>
  <c r="N17" i="13" s="1"/>
  <c r="M10" i="13"/>
  <c r="I53" i="11"/>
  <c r="N53" i="11" s="1"/>
  <c r="I54" i="11"/>
  <c r="N54" i="11" s="1"/>
  <c r="M51" i="11"/>
  <c r="I63" i="11"/>
  <c r="N63" i="11" s="1"/>
  <c r="M57" i="11"/>
  <c r="M24" i="11"/>
  <c r="M26" i="11"/>
  <c r="M22" i="11"/>
  <c r="M44" i="11"/>
  <c r="L10" i="11"/>
  <c r="I17" i="11"/>
  <c r="M10" i="11" l="1"/>
  <c r="N17" i="11"/>
  <c r="N10" i="11" s="1"/>
  <c r="J79" i="11" l="1"/>
  <c r="K79" i="11" s="1"/>
  <c r="J77" i="11"/>
  <c r="K77" i="11" s="1"/>
  <c r="J76" i="11"/>
  <c r="K76" i="11" s="1"/>
  <c r="J75" i="11"/>
  <c r="K75" i="11" s="1"/>
  <c r="J74" i="11"/>
  <c r="K74" i="11" s="1"/>
  <c r="J73" i="11"/>
  <c r="K73" i="11" s="1"/>
  <c r="J72" i="11"/>
  <c r="K72" i="11" s="1"/>
  <c r="J70" i="11"/>
  <c r="K70" i="11" s="1"/>
  <c r="J69" i="11"/>
  <c r="K69" i="11" s="1"/>
  <c r="J68" i="11"/>
  <c r="K68" i="11" s="1"/>
  <c r="J67" i="11"/>
  <c r="K67" i="11" s="1"/>
  <c r="J66" i="11"/>
  <c r="K66" i="11" s="1"/>
  <c r="J65" i="11"/>
  <c r="K65" i="11" s="1"/>
  <c r="K64" i="11"/>
  <c r="J64" i="11"/>
  <c r="J63" i="11"/>
  <c r="K63" i="11" s="1"/>
  <c r="J61" i="11"/>
  <c r="K61" i="11" s="1"/>
  <c r="J60" i="11"/>
  <c r="K60" i="11" s="1"/>
  <c r="J59" i="11"/>
  <c r="K59" i="11" s="1"/>
  <c r="K58" i="11"/>
  <c r="J58" i="11"/>
  <c r="Q57" i="11"/>
  <c r="J57" i="11"/>
  <c r="K57" i="11" s="1"/>
  <c r="J55" i="11"/>
  <c r="K55" i="11" s="1"/>
  <c r="J54" i="11"/>
  <c r="K54" i="11" s="1"/>
  <c r="J53" i="11"/>
  <c r="K53" i="11" s="1"/>
  <c r="J52" i="11"/>
  <c r="K52" i="11" s="1"/>
  <c r="J51" i="11"/>
  <c r="K51" i="11" s="1"/>
  <c r="J50" i="11"/>
  <c r="K50" i="11" s="1"/>
  <c r="J49" i="11"/>
  <c r="K49" i="11" s="1"/>
  <c r="J47" i="11"/>
  <c r="K47" i="11" s="1"/>
  <c r="J46" i="11"/>
  <c r="K46" i="11" s="1"/>
  <c r="J45" i="11"/>
  <c r="K45" i="11" s="1"/>
  <c r="J44" i="11"/>
  <c r="K44" i="11" s="1"/>
  <c r="S43" i="11"/>
  <c r="J43" i="11"/>
  <c r="K43" i="11" s="1"/>
  <c r="J41" i="11"/>
  <c r="K41" i="11" s="1"/>
  <c r="J40" i="11"/>
  <c r="K40" i="11" s="1"/>
  <c r="J39" i="11"/>
  <c r="K39" i="11" s="1"/>
  <c r="J38" i="11"/>
  <c r="K38" i="11" s="1"/>
  <c r="J37" i="11"/>
  <c r="K37" i="11" s="1"/>
  <c r="J36" i="11"/>
  <c r="K36" i="11" s="1"/>
  <c r="J35" i="11"/>
  <c r="K35" i="11" s="1"/>
  <c r="J34" i="11"/>
  <c r="K34" i="11" s="1"/>
  <c r="J33" i="11"/>
  <c r="K33" i="11" s="1"/>
  <c r="J32" i="11"/>
  <c r="K32" i="11" s="1"/>
  <c r="J31" i="11"/>
  <c r="K31" i="11" s="1"/>
  <c r="J30" i="11"/>
  <c r="K30" i="11" s="1"/>
  <c r="J29" i="11"/>
  <c r="K29" i="11" s="1"/>
  <c r="J28" i="11"/>
  <c r="K28" i="11" s="1"/>
  <c r="J26" i="11"/>
  <c r="K26" i="11" s="1"/>
  <c r="J25" i="11"/>
  <c r="K25" i="11" s="1"/>
  <c r="J24" i="11"/>
  <c r="K24" i="11" s="1"/>
  <c r="J23" i="11"/>
  <c r="K23" i="11" s="1"/>
  <c r="J22" i="11"/>
  <c r="K22" i="11" s="1"/>
  <c r="J21" i="11"/>
  <c r="K21" i="11" s="1"/>
  <c r="J19" i="11"/>
  <c r="K19" i="11" s="1"/>
  <c r="J18" i="11"/>
  <c r="K18" i="11" s="1"/>
  <c r="V17" i="11"/>
  <c r="J17" i="11"/>
  <c r="K17" i="11" s="1"/>
  <c r="J16" i="11"/>
  <c r="K16" i="11" s="1"/>
  <c r="S15" i="11"/>
  <c r="J15" i="11"/>
  <c r="K15" i="11" s="1"/>
  <c r="J13" i="11"/>
  <c r="K13" i="11" s="1"/>
  <c r="E17" i="9" l="1"/>
  <c r="E18" i="9" l="1"/>
  <c r="G17" i="10"/>
  <c r="H17" i="10" s="1"/>
  <c r="H7" i="10" s="1"/>
  <c r="E13" i="10"/>
  <c r="G13" i="10"/>
  <c r="G10" i="10"/>
  <c r="H10" i="10" s="1"/>
  <c r="G9" i="10"/>
  <c r="H9" i="10" s="1"/>
  <c r="H13" i="10" l="1"/>
  <c r="G29" i="10" l="1"/>
  <c r="H29" i="10" s="1"/>
  <c r="G28" i="10"/>
  <c r="H28" i="10" s="1"/>
  <c r="G32" i="10"/>
  <c r="G31" i="10"/>
  <c r="G30" i="10"/>
  <c r="G33" i="10"/>
  <c r="G19" i="10"/>
  <c r="G18" i="10"/>
  <c r="G21" i="10"/>
  <c r="G12" i="10"/>
  <c r="G11" i="10"/>
  <c r="G20" i="10"/>
  <c r="G15" i="10"/>
  <c r="G14" i="10"/>
  <c r="G8" i="10"/>
  <c r="H15" i="10" l="1"/>
  <c r="H14" i="10"/>
  <c r="H8" i="10"/>
  <c r="H19" i="10" l="1"/>
  <c r="H18" i="10"/>
  <c r="H32" i="10"/>
  <c r="H30" i="10"/>
  <c r="H31" i="10"/>
  <c r="H33" i="10"/>
  <c r="H21" i="10"/>
  <c r="H12" i="10"/>
  <c r="H11" i="10"/>
  <c r="H20" i="10"/>
  <c r="H27" i="10" l="1"/>
  <c r="O17" i="9"/>
  <c r="M43" i="9"/>
  <c r="M15" i="9"/>
  <c r="F79" i="9"/>
  <c r="G79" i="9" s="1"/>
  <c r="H79" i="9" s="1"/>
  <c r="H78" i="9" s="1"/>
  <c r="F77" i="9"/>
  <c r="G77" i="9" s="1"/>
  <c r="H77" i="9" s="1"/>
  <c r="F76" i="9"/>
  <c r="G76" i="9" s="1"/>
  <c r="H76" i="9" s="1"/>
  <c r="F75" i="9"/>
  <c r="G75" i="9" s="1"/>
  <c r="H75" i="9" s="1"/>
  <c r="G74" i="9"/>
  <c r="H74" i="9" s="1"/>
  <c r="F74" i="9"/>
  <c r="F73" i="9"/>
  <c r="G73" i="9" s="1"/>
  <c r="H73" i="9" s="1"/>
  <c r="F72" i="9"/>
  <c r="G72" i="9" s="1"/>
  <c r="H72" i="9" s="1"/>
  <c r="H71" i="9" s="1"/>
  <c r="F70" i="9"/>
  <c r="G70" i="9" s="1"/>
  <c r="H70" i="9" s="1"/>
  <c r="H69" i="9"/>
  <c r="F69" i="9"/>
  <c r="G69" i="9" s="1"/>
  <c r="G68" i="9"/>
  <c r="H68" i="9" s="1"/>
  <c r="F68" i="9"/>
  <c r="F67" i="9"/>
  <c r="G67" i="9" s="1"/>
  <c r="H67" i="9" s="1"/>
  <c r="F66" i="9"/>
  <c r="G66" i="9" s="1"/>
  <c r="H66" i="9" s="1"/>
  <c r="F65" i="9"/>
  <c r="G65" i="9" s="1"/>
  <c r="H65" i="9" s="1"/>
  <c r="G64" i="9"/>
  <c r="H64" i="9" s="1"/>
  <c r="F64" i="9"/>
  <c r="F63" i="9"/>
  <c r="G63" i="9" s="1"/>
  <c r="H63" i="9" s="1"/>
  <c r="F61" i="9"/>
  <c r="G61" i="9" s="1"/>
  <c r="H61" i="9" s="1"/>
  <c r="F60" i="9"/>
  <c r="G60" i="9" s="1"/>
  <c r="H60" i="9" s="1"/>
  <c r="F59" i="9"/>
  <c r="G59" i="9" s="1"/>
  <c r="H59" i="9" s="1"/>
  <c r="G58" i="9"/>
  <c r="H58" i="9" s="1"/>
  <c r="F58" i="9"/>
  <c r="K57" i="9"/>
  <c r="G57" i="9"/>
  <c r="H57" i="9" s="1"/>
  <c r="F57" i="9"/>
  <c r="G55" i="9"/>
  <c r="H55" i="9" s="1"/>
  <c r="F55" i="9"/>
  <c r="F54" i="9"/>
  <c r="G54" i="9" s="1"/>
  <c r="H54" i="9" s="1"/>
  <c r="F53" i="9"/>
  <c r="G53" i="9" s="1"/>
  <c r="H53" i="9" s="1"/>
  <c r="H52" i="9"/>
  <c r="F52" i="9"/>
  <c r="G52" i="9" s="1"/>
  <c r="G51" i="9"/>
  <c r="H51" i="9" s="1"/>
  <c r="F51" i="9"/>
  <c r="F50" i="9"/>
  <c r="G50" i="9" s="1"/>
  <c r="H50" i="9" s="1"/>
  <c r="F49" i="9"/>
  <c r="G49" i="9" s="1"/>
  <c r="H49" i="9" s="1"/>
  <c r="F47" i="9"/>
  <c r="G47" i="9" s="1"/>
  <c r="H47" i="9" s="1"/>
  <c r="H46" i="9"/>
  <c r="F46" i="9"/>
  <c r="G46" i="9" s="1"/>
  <c r="G45" i="9"/>
  <c r="H45" i="9" s="1"/>
  <c r="F45" i="9"/>
  <c r="F44" i="9"/>
  <c r="G44" i="9" s="1"/>
  <c r="H44" i="9" s="1"/>
  <c r="F43" i="9"/>
  <c r="G43" i="9" s="1"/>
  <c r="H43" i="9"/>
  <c r="F41" i="9"/>
  <c r="G41" i="9" s="1"/>
  <c r="H41" i="9" s="1"/>
  <c r="F40" i="9"/>
  <c r="G40" i="9" s="1"/>
  <c r="H40" i="9" s="1"/>
  <c r="F39" i="9"/>
  <c r="G39" i="9" s="1"/>
  <c r="H39" i="9" s="1"/>
  <c r="H38" i="9"/>
  <c r="G38" i="9"/>
  <c r="F38" i="9"/>
  <c r="F37" i="9"/>
  <c r="G37" i="9" s="1"/>
  <c r="H37" i="9" s="1"/>
  <c r="F36" i="9"/>
  <c r="G36" i="9" s="1"/>
  <c r="H36" i="9" s="1"/>
  <c r="F35" i="9"/>
  <c r="G35" i="9" s="1"/>
  <c r="H35" i="9" s="1"/>
  <c r="H34" i="9"/>
  <c r="G34" i="9"/>
  <c r="F34" i="9"/>
  <c r="F33" i="9"/>
  <c r="G33" i="9" s="1"/>
  <c r="H33" i="9" s="1"/>
  <c r="F32" i="9"/>
  <c r="G32" i="9" s="1"/>
  <c r="H32" i="9" s="1"/>
  <c r="F31" i="9"/>
  <c r="G31" i="9" s="1"/>
  <c r="H31" i="9" s="1"/>
  <c r="H30" i="9"/>
  <c r="G30" i="9"/>
  <c r="F30" i="9"/>
  <c r="F29" i="9"/>
  <c r="G29" i="9" s="1"/>
  <c r="H29" i="9" s="1"/>
  <c r="F28" i="9"/>
  <c r="G28" i="9" s="1"/>
  <c r="H28" i="9" s="1"/>
  <c r="F26" i="9"/>
  <c r="G26" i="9" s="1"/>
  <c r="H26" i="9" s="1"/>
  <c r="H25" i="9"/>
  <c r="F25" i="9"/>
  <c r="G25" i="9" s="1"/>
  <c r="G24" i="9"/>
  <c r="H24" i="9" s="1"/>
  <c r="F24" i="9"/>
  <c r="F23" i="9"/>
  <c r="G23" i="9" s="1"/>
  <c r="H23" i="9" s="1"/>
  <c r="F22" i="9"/>
  <c r="G22" i="9" s="1"/>
  <c r="H22" i="9" s="1"/>
  <c r="H21" i="9"/>
  <c r="H20" i="9" s="1"/>
  <c r="F21" i="9"/>
  <c r="G21" i="9" s="1"/>
  <c r="F19" i="9"/>
  <c r="G19" i="9" s="1"/>
  <c r="H19" i="9" s="1"/>
  <c r="G18" i="9"/>
  <c r="H18" i="9" s="1"/>
  <c r="F18" i="9"/>
  <c r="G17" i="9"/>
  <c r="H17" i="9" s="1"/>
  <c r="F17" i="9"/>
  <c r="F16" i="9"/>
  <c r="G16" i="9" s="1"/>
  <c r="H16" i="9" s="1"/>
  <c r="F15" i="9"/>
  <c r="G15" i="9" s="1"/>
  <c r="H15" i="9" s="1"/>
  <c r="F13" i="9"/>
  <c r="G13" i="9" s="1"/>
  <c r="H13" i="9" s="1"/>
  <c r="H12" i="9" s="1"/>
  <c r="H27" i="9" l="1"/>
  <c r="H48" i="9"/>
  <c r="H14" i="9"/>
  <c r="H42" i="9"/>
  <c r="H56" i="9"/>
  <c r="H62" i="9"/>
  <c r="E43" i="8"/>
  <c r="E15" i="8"/>
  <c r="F79" i="8"/>
  <c r="G79" i="8" s="1"/>
  <c r="H79" i="8" s="1"/>
  <c r="H78" i="8" s="1"/>
  <c r="F77" i="8"/>
  <c r="G77" i="8" s="1"/>
  <c r="H77" i="8" s="1"/>
  <c r="F76" i="8"/>
  <c r="G76" i="8" s="1"/>
  <c r="H76" i="8" s="1"/>
  <c r="G75" i="8"/>
  <c r="H75" i="8" s="1"/>
  <c r="F75" i="8"/>
  <c r="F74" i="8"/>
  <c r="G74" i="8" s="1"/>
  <c r="H74" i="8" s="1"/>
  <c r="F73" i="8"/>
  <c r="G73" i="8" s="1"/>
  <c r="H73" i="8" s="1"/>
  <c r="F72" i="8"/>
  <c r="G72" i="8" s="1"/>
  <c r="H72" i="8" s="1"/>
  <c r="F70" i="8"/>
  <c r="G70" i="8" s="1"/>
  <c r="H70" i="8" s="1"/>
  <c r="G69" i="8"/>
  <c r="H69" i="8" s="1"/>
  <c r="F69" i="8"/>
  <c r="F68" i="8"/>
  <c r="G68" i="8" s="1"/>
  <c r="H68" i="8" s="1"/>
  <c r="F67" i="8"/>
  <c r="G67" i="8" s="1"/>
  <c r="H67" i="8" s="1"/>
  <c r="F66" i="8"/>
  <c r="G66" i="8" s="1"/>
  <c r="H66" i="8" s="1"/>
  <c r="G65" i="8"/>
  <c r="H65" i="8" s="1"/>
  <c r="F65" i="8"/>
  <c r="F64" i="8"/>
  <c r="G64" i="8" s="1"/>
  <c r="H64" i="8" s="1"/>
  <c r="F63" i="8"/>
  <c r="G63" i="8" s="1"/>
  <c r="H63" i="8" s="1"/>
  <c r="F61" i="8"/>
  <c r="G61" i="8" s="1"/>
  <c r="H61" i="8" s="1"/>
  <c r="F60" i="8"/>
  <c r="G60" i="8" s="1"/>
  <c r="H60" i="8" s="1"/>
  <c r="H59" i="8"/>
  <c r="G59" i="8"/>
  <c r="F59" i="8"/>
  <c r="G58" i="8"/>
  <c r="H58" i="8" s="1"/>
  <c r="F58" i="8"/>
  <c r="K57" i="8"/>
  <c r="G57" i="8"/>
  <c r="H57" i="8" s="1"/>
  <c r="F57" i="8"/>
  <c r="G55" i="8"/>
  <c r="H55" i="8" s="1"/>
  <c r="F55" i="8"/>
  <c r="F54" i="8"/>
  <c r="G54" i="8" s="1"/>
  <c r="H54" i="8" s="1"/>
  <c r="F53" i="8"/>
  <c r="G53" i="8" s="1"/>
  <c r="H53" i="8" s="1"/>
  <c r="F52" i="8"/>
  <c r="G52" i="8" s="1"/>
  <c r="H52" i="8" s="1"/>
  <c r="H51" i="8"/>
  <c r="G51" i="8"/>
  <c r="F51" i="8"/>
  <c r="G50" i="8"/>
  <c r="H50" i="8" s="1"/>
  <c r="F50" i="8"/>
  <c r="F49" i="8"/>
  <c r="G49" i="8" s="1"/>
  <c r="H49" i="8" s="1"/>
  <c r="F47" i="8"/>
  <c r="G47" i="8" s="1"/>
  <c r="H47" i="8" s="1"/>
  <c r="F46" i="8"/>
  <c r="G46" i="8" s="1"/>
  <c r="H46" i="8" s="1"/>
  <c r="H45" i="8"/>
  <c r="G45" i="8"/>
  <c r="F45" i="8"/>
  <c r="G44" i="8"/>
  <c r="H44" i="8" s="1"/>
  <c r="F44" i="8"/>
  <c r="F43" i="8"/>
  <c r="G43" i="8" s="1"/>
  <c r="H43" i="8" s="1"/>
  <c r="F41" i="8"/>
  <c r="G41" i="8" s="1"/>
  <c r="H41" i="8" s="1"/>
  <c r="F40" i="8"/>
  <c r="G40" i="8" s="1"/>
  <c r="H40" i="8" s="1"/>
  <c r="H39" i="8"/>
  <c r="G39" i="8"/>
  <c r="F39" i="8"/>
  <c r="G38" i="8"/>
  <c r="H38" i="8" s="1"/>
  <c r="F38" i="8"/>
  <c r="F37" i="8"/>
  <c r="G37" i="8" s="1"/>
  <c r="H37" i="8" s="1"/>
  <c r="H36" i="8"/>
  <c r="G36" i="8"/>
  <c r="F36" i="8"/>
  <c r="H35" i="8"/>
  <c r="G35" i="8"/>
  <c r="F35" i="8"/>
  <c r="G34" i="8"/>
  <c r="H34" i="8" s="1"/>
  <c r="F34" i="8"/>
  <c r="F33" i="8"/>
  <c r="G33" i="8" s="1"/>
  <c r="H33" i="8" s="1"/>
  <c r="H32" i="8"/>
  <c r="G32" i="8"/>
  <c r="F32" i="8"/>
  <c r="H31" i="8"/>
  <c r="G31" i="8"/>
  <c r="F31" i="8"/>
  <c r="G30" i="8"/>
  <c r="H30" i="8" s="1"/>
  <c r="F30" i="8"/>
  <c r="H29" i="8"/>
  <c r="G29" i="8"/>
  <c r="F29" i="8"/>
  <c r="G28" i="8"/>
  <c r="H28" i="8" s="1"/>
  <c r="F28" i="8"/>
  <c r="G26" i="8"/>
  <c r="H26" i="8" s="1"/>
  <c r="F26" i="8"/>
  <c r="F25" i="8"/>
  <c r="G25" i="8" s="1"/>
  <c r="H25" i="8" s="1"/>
  <c r="H24" i="8"/>
  <c r="G24" i="8"/>
  <c r="F24" i="8"/>
  <c r="H23" i="8"/>
  <c r="G23" i="8"/>
  <c r="F23" i="8"/>
  <c r="G22" i="8"/>
  <c r="H22" i="8" s="1"/>
  <c r="F22" i="8"/>
  <c r="H21" i="8"/>
  <c r="G21" i="8"/>
  <c r="F21" i="8"/>
  <c r="H19" i="8"/>
  <c r="G19" i="8"/>
  <c r="F19" i="8"/>
  <c r="H18" i="8"/>
  <c r="G18" i="8"/>
  <c r="F18" i="8"/>
  <c r="G17" i="8"/>
  <c r="F17" i="8"/>
  <c r="H17" i="8"/>
  <c r="H16" i="8"/>
  <c r="G16" i="8"/>
  <c r="F16" i="8"/>
  <c r="H15" i="8"/>
  <c r="G15" i="8"/>
  <c r="F15" i="8"/>
  <c r="H13" i="8"/>
  <c r="H12" i="8" s="1"/>
  <c r="G13" i="8"/>
  <c r="F13" i="8"/>
  <c r="H11" i="9" l="1"/>
  <c r="H10" i="9" s="1"/>
  <c r="H42" i="8"/>
  <c r="H56" i="8"/>
  <c r="H71" i="8"/>
  <c r="H14" i="8"/>
  <c r="H27" i="8"/>
  <c r="H62" i="8"/>
  <c r="H20" i="8"/>
  <c r="H48" i="8"/>
  <c r="E19" i="7"/>
  <c r="H19" i="7" s="1"/>
  <c r="G14" i="7"/>
  <c r="E14" i="7"/>
  <c r="E13" i="7"/>
  <c r="E12" i="7"/>
  <c r="H11" i="8" l="1"/>
  <c r="H10" i="8" s="1"/>
  <c r="H14" i="7"/>
  <c r="G13" i="7"/>
  <c r="H13" i="7" s="1"/>
  <c r="G12" i="7"/>
  <c r="H12" i="7" s="1"/>
  <c r="G10" i="7" l="1"/>
  <c r="H10" i="7" s="1"/>
  <c r="E18" i="7" l="1"/>
  <c r="G18" i="7"/>
  <c r="G9" i="7"/>
  <c r="H9" i="7" s="1"/>
  <c r="G8" i="7"/>
  <c r="H8" i="7" s="1"/>
  <c r="H7" i="7" l="1"/>
  <c r="H18" i="7"/>
  <c r="H17" i="7" s="1"/>
  <c r="F79" i="1" l="1"/>
  <c r="F76" i="1"/>
  <c r="F77" i="1"/>
  <c r="F75" i="1"/>
  <c r="F74" i="1"/>
  <c r="F73" i="1"/>
  <c r="F72" i="1"/>
  <c r="F70" i="1"/>
  <c r="F69" i="1"/>
  <c r="F68" i="1"/>
  <c r="F67" i="1"/>
  <c r="F66" i="1"/>
  <c r="F65" i="1"/>
  <c r="F64" i="1"/>
  <c r="F63" i="1"/>
  <c r="F61" i="1"/>
  <c r="F60" i="1"/>
  <c r="F59" i="1"/>
  <c r="F58" i="1"/>
  <c r="F57" i="1"/>
  <c r="F55" i="1"/>
  <c r="F54" i="1"/>
  <c r="F53" i="1"/>
  <c r="F52" i="1"/>
  <c r="F51" i="1"/>
  <c r="F50" i="1"/>
  <c r="F49" i="1"/>
  <c r="F47" i="1"/>
  <c r="F46" i="1"/>
  <c r="F45" i="1"/>
  <c r="F44" i="1"/>
  <c r="F43" i="1"/>
  <c r="F41" i="1"/>
  <c r="F40" i="1"/>
  <c r="F39" i="1"/>
  <c r="F38" i="1"/>
  <c r="F37" i="1"/>
  <c r="F36" i="1"/>
  <c r="F35" i="1"/>
  <c r="F34" i="1"/>
  <c r="F33" i="1"/>
  <c r="F32" i="1"/>
  <c r="F31" i="1"/>
  <c r="F30" i="1"/>
  <c r="F29" i="1"/>
  <c r="F28" i="1"/>
  <c r="F26" i="1"/>
  <c r="F25" i="1"/>
  <c r="F24" i="1"/>
  <c r="F23" i="1"/>
  <c r="F22" i="1"/>
  <c r="F21" i="1"/>
  <c r="F19" i="1"/>
  <c r="F18" i="1"/>
  <c r="F17" i="1"/>
  <c r="F16" i="1"/>
  <c r="F15" i="1"/>
  <c r="F13" i="1"/>
  <c r="B76" i="3" l="1"/>
  <c r="B75" i="3"/>
  <c r="B70" i="3"/>
  <c r="B71" i="3"/>
  <c r="B72" i="3"/>
  <c r="B73" i="3"/>
  <c r="B74" i="3"/>
  <c r="B69" i="3"/>
  <c r="B68" i="3"/>
  <c r="B61" i="3"/>
  <c r="B62" i="3"/>
  <c r="B63" i="3"/>
  <c r="B64" i="3"/>
  <c r="B65" i="3"/>
  <c r="B66" i="3"/>
  <c r="B67" i="3"/>
  <c r="B60" i="3"/>
  <c r="B59" i="3"/>
  <c r="B55" i="3"/>
  <c r="B56" i="3"/>
  <c r="B57" i="3"/>
  <c r="B58" i="3"/>
  <c r="B54" i="3"/>
  <c r="B53" i="3"/>
  <c r="B47" i="3"/>
  <c r="B48" i="3"/>
  <c r="B49" i="3"/>
  <c r="B50" i="3"/>
  <c r="B51" i="3"/>
  <c r="B52" i="3"/>
  <c r="B46" i="3"/>
  <c r="B45" i="3"/>
  <c r="B41" i="3"/>
  <c r="B42" i="3"/>
  <c r="B43" i="3"/>
  <c r="B44" i="3"/>
  <c r="B40" i="3"/>
  <c r="B39" i="3"/>
  <c r="B26" i="3"/>
  <c r="B27" i="3"/>
  <c r="B28" i="3"/>
  <c r="B29" i="3"/>
  <c r="B30" i="3"/>
  <c r="B31" i="3"/>
  <c r="B32" i="3"/>
  <c r="B33" i="3"/>
  <c r="B34" i="3"/>
  <c r="B35" i="3"/>
  <c r="B36" i="3"/>
  <c r="B37" i="3"/>
  <c r="B38" i="3"/>
  <c r="B25" i="3"/>
  <c r="B24" i="3"/>
  <c r="B19" i="3"/>
  <c r="B20" i="3"/>
  <c r="B21" i="3"/>
  <c r="B22" i="3"/>
  <c r="B23" i="3"/>
  <c r="B18" i="3"/>
  <c r="B17" i="3"/>
  <c r="B13" i="3"/>
  <c r="B14" i="3"/>
  <c r="B15" i="3"/>
  <c r="B16" i="3"/>
  <c r="B12" i="3"/>
  <c r="B11" i="3"/>
  <c r="B9" i="3"/>
  <c r="B10" i="3"/>
  <c r="J27" i="4"/>
  <c r="J26" i="4"/>
  <c r="A22" i="4"/>
  <c r="A21" i="4"/>
  <c r="A20" i="4"/>
  <c r="A19" i="4"/>
  <c r="A18" i="4"/>
  <c r="G58" i="1" l="1"/>
  <c r="H58" i="1" s="1"/>
  <c r="K57" i="1"/>
  <c r="I60" i="1" l="1"/>
  <c r="I17" i="1"/>
  <c r="I52" i="1" l="1"/>
  <c r="E18" i="1" l="1"/>
  <c r="E17" i="1"/>
  <c r="G79" i="1"/>
  <c r="H79" i="1" s="1"/>
  <c r="H78" i="1" s="1"/>
  <c r="E27" i="2" s="1"/>
  <c r="G77" i="1"/>
  <c r="H77" i="1" s="1"/>
  <c r="G76" i="1"/>
  <c r="H76" i="1" s="1"/>
  <c r="G75" i="1"/>
  <c r="H75" i="1" s="1"/>
  <c r="G74" i="1"/>
  <c r="H74" i="1" s="1"/>
  <c r="G73" i="1"/>
  <c r="H73" i="1" s="1"/>
  <c r="G72" i="1"/>
  <c r="H72" i="1" s="1"/>
  <c r="G70" i="1"/>
  <c r="H70" i="1" s="1"/>
  <c r="G69" i="1"/>
  <c r="H69" i="1" s="1"/>
  <c r="G68" i="1"/>
  <c r="H68" i="1" s="1"/>
  <c r="G67" i="1"/>
  <c r="H67" i="1" s="1"/>
  <c r="G66" i="1"/>
  <c r="H66" i="1" s="1"/>
  <c r="G65" i="1"/>
  <c r="H65" i="1" s="1"/>
  <c r="G64" i="1"/>
  <c r="H64" i="1" s="1"/>
  <c r="G63" i="1"/>
  <c r="H63" i="1" s="1"/>
  <c r="G61" i="1"/>
  <c r="H61" i="1" s="1"/>
  <c r="G60" i="1"/>
  <c r="H60" i="1" s="1"/>
  <c r="G59" i="1"/>
  <c r="H59" i="1" s="1"/>
  <c r="G57" i="1"/>
  <c r="H57" i="1" s="1"/>
  <c r="G55" i="1"/>
  <c r="H55" i="1" s="1"/>
  <c r="G54" i="1"/>
  <c r="H54" i="1" s="1"/>
  <c r="G53" i="1"/>
  <c r="H53" i="1" s="1"/>
  <c r="G52" i="1"/>
  <c r="G51" i="1"/>
  <c r="H51" i="1" s="1"/>
  <c r="G50" i="1"/>
  <c r="H50" i="1" s="1"/>
  <c r="G49" i="1"/>
  <c r="G47" i="1"/>
  <c r="H47" i="1" s="1"/>
  <c r="G46" i="1"/>
  <c r="H46" i="1" s="1"/>
  <c r="G45" i="1"/>
  <c r="H45" i="1" s="1"/>
  <c r="G44" i="1"/>
  <c r="H44" i="1" s="1"/>
  <c r="G43" i="1"/>
  <c r="H43" i="1" s="1"/>
  <c r="G41" i="1"/>
  <c r="H41" i="1" s="1"/>
  <c r="G40" i="1"/>
  <c r="H40" i="1" s="1"/>
  <c r="G39" i="1"/>
  <c r="H39" i="1" s="1"/>
  <c r="G38" i="1"/>
  <c r="H38" i="1" s="1"/>
  <c r="G37" i="1"/>
  <c r="H37" i="1" s="1"/>
  <c r="G36" i="1"/>
  <c r="H36" i="1" s="1"/>
  <c r="G35" i="1"/>
  <c r="H35" i="1" s="1"/>
  <c r="G34" i="1"/>
  <c r="H34" i="1" s="1"/>
  <c r="G33" i="1"/>
  <c r="H33" i="1" s="1"/>
  <c r="G32" i="1"/>
  <c r="H32" i="1" s="1"/>
  <c r="G31" i="1"/>
  <c r="H31" i="1" s="1"/>
  <c r="G30" i="1"/>
  <c r="H30" i="1" s="1"/>
  <c r="G29" i="1"/>
  <c r="H29" i="1" s="1"/>
  <c r="G28" i="1"/>
  <c r="H28" i="1" s="1"/>
  <c r="G26" i="1"/>
  <c r="H26" i="1" s="1"/>
  <c r="G25" i="1"/>
  <c r="H25" i="1" s="1"/>
  <c r="G24" i="1"/>
  <c r="H24" i="1" s="1"/>
  <c r="G23" i="1"/>
  <c r="H23" i="1" s="1"/>
  <c r="G22" i="1"/>
  <c r="H22" i="1" s="1"/>
  <c r="R21" i="1"/>
  <c r="Q21" i="1"/>
  <c r="G21" i="1"/>
  <c r="H21" i="1" s="1"/>
  <c r="G19" i="1"/>
  <c r="G18" i="1"/>
  <c r="G17" i="1"/>
  <c r="G16" i="1"/>
  <c r="H16" i="1" s="1"/>
  <c r="G15" i="1"/>
  <c r="H15" i="1" s="1"/>
  <c r="G13" i="1"/>
  <c r="H13" i="1" s="1"/>
  <c r="I27" i="2" l="1"/>
  <c r="J27" i="2"/>
  <c r="G27" i="2"/>
  <c r="K27" i="2"/>
  <c r="H27" i="2"/>
  <c r="F27" i="2"/>
  <c r="H62" i="1"/>
  <c r="E23" i="2" s="1"/>
  <c r="H18" i="1"/>
  <c r="S21" i="1"/>
  <c r="Q29" i="1" s="1"/>
  <c r="R29" i="1" s="1"/>
  <c r="H17" i="1"/>
  <c r="H42" i="1"/>
  <c r="E17" i="2" s="1"/>
  <c r="H52" i="1"/>
  <c r="H19" i="1"/>
  <c r="H27" i="1"/>
  <c r="E15" i="2" s="1"/>
  <c r="H56" i="1"/>
  <c r="E21" i="2" s="1"/>
  <c r="H71" i="1"/>
  <c r="E25" i="2" s="1"/>
  <c r="H12" i="1"/>
  <c r="E9" i="2" s="1"/>
  <c r="H20" i="1"/>
  <c r="E13" i="2" s="1"/>
  <c r="H49" i="1"/>
  <c r="F9" i="2" l="1"/>
  <c r="J9" i="2"/>
  <c r="G9" i="2"/>
  <c r="K9" i="2"/>
  <c r="H9" i="2"/>
  <c r="I9" i="2"/>
  <c r="G25" i="2"/>
  <c r="K25" i="2"/>
  <c r="H25" i="2"/>
  <c r="F25" i="2"/>
  <c r="I25" i="2"/>
  <c r="J25" i="2"/>
  <c r="G21" i="2"/>
  <c r="K21" i="2"/>
  <c r="H21" i="2"/>
  <c r="F21" i="2"/>
  <c r="I21" i="2"/>
  <c r="J21" i="2"/>
  <c r="F17" i="2"/>
  <c r="J17" i="2"/>
  <c r="G17" i="2"/>
  <c r="K17" i="2"/>
  <c r="H17" i="2"/>
  <c r="I17" i="2"/>
  <c r="I23" i="2"/>
  <c r="J23" i="2"/>
  <c r="G23" i="2"/>
  <c r="K23" i="2"/>
  <c r="H23" i="2"/>
  <c r="F23" i="2"/>
  <c r="F13" i="2"/>
  <c r="J13" i="2"/>
  <c r="G13" i="2"/>
  <c r="K13" i="2"/>
  <c r="H13" i="2"/>
  <c r="I13" i="2"/>
  <c r="H15" i="2"/>
  <c r="I15" i="2"/>
  <c r="F15" i="2"/>
  <c r="J15" i="2"/>
  <c r="G15" i="2"/>
  <c r="K15" i="2"/>
  <c r="H14" i="1"/>
  <c r="E11" i="2" s="1"/>
  <c r="H48" i="1"/>
  <c r="H11" i="1" l="1"/>
  <c r="H10" i="1" s="1"/>
  <c r="E19" i="2"/>
  <c r="H11" i="2"/>
  <c r="I11" i="2"/>
  <c r="F11" i="2"/>
  <c r="J11" i="2"/>
  <c r="G11" i="2"/>
  <c r="K11" i="2"/>
  <c r="I19" i="2" l="1"/>
  <c r="I29" i="2" s="1"/>
  <c r="H19" i="2"/>
  <c r="H29" i="2" s="1"/>
  <c r="K19" i="2"/>
  <c r="K29" i="2" s="1"/>
  <c r="G19" i="2"/>
  <c r="G29" i="2" s="1"/>
  <c r="J19" i="2"/>
  <c r="J29" i="2" s="1"/>
  <c r="F19" i="2"/>
  <c r="F29" i="2" s="1"/>
  <c r="E29" i="2"/>
  <c r="G28" i="2" l="1"/>
  <c r="K28" i="2"/>
  <c r="I28" i="2"/>
  <c r="H28" i="2"/>
  <c r="J28" i="2"/>
  <c r="F28" i="2"/>
  <c r="L29" i="2"/>
  <c r="E5" i="2"/>
  <c r="E26" i="2"/>
  <c r="E24" i="2"/>
  <c r="E12" i="2"/>
  <c r="E8" i="2"/>
  <c r="E22" i="2"/>
  <c r="E16" i="2"/>
  <c r="E20" i="2"/>
  <c r="E14" i="2"/>
  <c r="E10" i="2"/>
  <c r="E18" i="2"/>
  <c r="L28" i="2" l="1"/>
  <c r="E28" i="2"/>
</calcChain>
</file>

<file path=xl/sharedStrings.xml><?xml version="1.0" encoding="utf-8"?>
<sst xmlns="http://schemas.openxmlformats.org/spreadsheetml/2006/main" count="1765" uniqueCount="384">
  <si>
    <t>PLANILHA ORÇAMENTÁRIA DE CUSTOS</t>
  </si>
  <si>
    <t>MUNICÍPIO: CONCEIÇÃO DOS OUROS/MG</t>
  </si>
  <si>
    <t>DATA:</t>
  </si>
  <si>
    <t/>
  </si>
  <si>
    <t>BDI:</t>
  </si>
  <si>
    <t>ITEM</t>
  </si>
  <si>
    <t>CÓDIGO</t>
  </si>
  <si>
    <t>DESCRIÇÃO</t>
  </si>
  <si>
    <t>UNID</t>
  </si>
  <si>
    <t>QUANT</t>
  </si>
  <si>
    <t>CUSTO UNITÁRIO (R$)</t>
  </si>
  <si>
    <t>UNITÁRIO COM BDI (R$)</t>
  </si>
  <si>
    <t>VALOR TOTAL COM BDI (R$)</t>
  </si>
  <si>
    <t>TOTAL</t>
  </si>
  <si>
    <t>SERVIÇOS PRELIMINARES</t>
  </si>
  <si>
    <t>1.1</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</si>
  <si>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</si>
  <si>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</si>
  <si>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</si>
  <si>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M</t>
  </si>
  <si>
    <t>2.1</t>
  </si>
  <si>
    <t>2.2</t>
  </si>
  <si>
    <t>2.3</t>
  </si>
  <si>
    <t>2.4</t>
  </si>
  <si>
    <t>M2</t>
  </si>
  <si>
    <t>KG</t>
  </si>
  <si>
    <t>m2</t>
  </si>
  <si>
    <t>2.5</t>
  </si>
  <si>
    <t>VEDAÇÃO</t>
  </si>
  <si>
    <t xml:space="preserve"> 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</si>
  <si>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</si>
  <si>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 xml:space="preserve"> ED-48501</t>
  </si>
  <si>
    <t>DEMOLIÇÃO MANUAL DE REBOCO OU EMBOÇO,
COM ESPESSURA DE ATÉ 55MM, INCLUSIVE AFASTAMENTO E
EMPILHAMENTO, EXCLUSIVE TRANSPORTE E RETIRADA DO
MATERIAL DEMOLIDO</t>
  </si>
  <si>
    <t>ED-48192</t>
  </si>
  <si>
    <t>ALVENARIA DE VEDAÇÃO COM BLOCO DE CONCRETO, ESP. 14CM,
PARA REVESTIMENTO, INCLUSIVE ARGAMASSA PARA
ASSENTAMENTO</t>
  </si>
  <si>
    <t>ED-48388</t>
  </si>
  <si>
    <t>CINTA DE AMARRAÇÃO DE ALVENARIA COM BLOCO DE
CONCRETO ESTRUTURAL, CANALETA TIPO "U", ESP. 14CM, (FBK 4,
5MPA), PARA REVESTIMENTO, INCLUSIVE ARGAMASSA PARA
ASSENTAMENTO, EXCLUSIVE GRAUTE E ARMAÇÃO</t>
  </si>
  <si>
    <t>ED-50761</t>
  </si>
  <si>
    <t>REBOCO COM ARGAMASSA, TRAÇO 1:2:8 (CIMENTO, CAL E AREIA)
, ESP. 20MM, APLICAÇÃO MANUAL, INCLUSIVE ARGAMASSA COM
PREPARO MECANIZADO, EXCLUSIVE CHAPISCO</t>
  </si>
  <si>
    <t xml:space="preserve">ED-20603 </t>
  </si>
  <si>
    <t>COBERTURA</t>
  </si>
  <si>
    <t>3.1</t>
  </si>
  <si>
    <t>FORNECIMENTO DE ESTRUTURA METÁLICA E ENGRADAMENTO
METÁLICO, EM AÇO, PARA TELHADO, EXCLUSIVE TELHA,
INCLUSIVE FABRICAÇÃO, TRANSPORTE, MONTAGEM E
APLICAÇÃO DE FUNDO PREPARADOR ANTICORROSIVO EM
SUPERFÍCIE METÁLICA, UMA (1) DEMÃO</t>
  </si>
  <si>
    <t>3.2</t>
  </si>
  <si>
    <t>ED-20574</t>
  </si>
  <si>
    <t>FORNECIMENTO DE ESTRUTURA METÁLICA E ENGRADAMENTO
METÁLICO, EM AÇO PATINÁVEL, SOBRE LAJE PARA TELHA
CERÂMICA, COBERTURA PADRÃO DO PRÉDIO ESCOLAR,
EXCLUSIVE TELHA, INCLUSIVE FABRICAÇÃO, TRANSPORTE E
MONTAGEM</t>
  </si>
  <si>
    <t>ED-48428</t>
  </si>
  <si>
    <t>COBERTURA EM TELHA METÁLICA GALVANIZADA
TRAPEZOIDAL, TIPO SIMPLES, ESP. 0,50MM, ACABAMENTO NATURAL,
INCLUSIVE ACESSÓRIOS PARA FIXAÇÃO, FORNECIMENTO E
INSTALAÇÃO</t>
  </si>
  <si>
    <t>ED-50678</t>
  </si>
  <si>
    <t>RUFO E CONTRARRUFO EM CHAPA GALVANIZADA,
ESP. 0,65MM (GSG-24), COM DESENVOLVIMENTO DE 33CM,
INCLUSIVE IÇAMENTO MANUAL VERTICAL</t>
  </si>
  <si>
    <t>3.3</t>
  </si>
  <si>
    <t>ED-50663</t>
  </si>
  <si>
    <t>CALHA EM CHAPA GALVANIZADA, ESP. 0,5MM (GSG-26), COM
DESENVOLVIMENTO DE 50CM, INCLUSIVE IÇAMENTO MANUAL
VERTICAL</t>
  </si>
  <si>
    <t>3.4</t>
  </si>
  <si>
    <t>ED-50668</t>
  </si>
  <si>
    <t>CONDUTOR CIRCULAR DE ÁGUA PLUVIAL PARA TELHADO EM
TUBO DE PVC, DIÂMETRO DE 100MM, INCLUSIVE CONEXÕES E
SUPORTES</t>
  </si>
  <si>
    <t>INSTALAÇÃO HIDROSSANITÁRIA</t>
  </si>
  <si>
    <t>ED-48467</t>
  </si>
  <si>
    <t>REMOÇÃO DE LOUÇAS (LAVATÓRIO, BANHEIRA,
PIA, VASO SANITÁRIO, TANQUE), COM REAPROVEITAMENTO,
INCLUSIVE AFASTAMENTO E EMPILHAMENTO, EXCLUSIVE
TRANSPORTE E RETIRADA DO MATERIAL REMOVIDO NÃO
REAPROVEITÁVEL</t>
  </si>
  <si>
    <t>Un.</t>
  </si>
  <si>
    <t>4.1</t>
  </si>
  <si>
    <t>ED-50223</t>
  </si>
  <si>
    <t>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 (LAVATÓRIO)</t>
  </si>
  <si>
    <t>UN.</t>
  </si>
  <si>
    <t>4.2</t>
  </si>
  <si>
    <t>ED-50225</t>
  </si>
  <si>
    <t>PONTO DE EMBUTIR PARA ESGOTO EM TUBO PVC RÍGIDO, PBV -
SÉRIE NORMAL, DN 100MM (4"), EMBUTIDO EM PISO COM
DISTÂNCIA DE ATÉ CINCO (5) METROS DO RAMAL DE ESGOTO,
INCLUSIVE CONEXÕES E FIXAÇÃO DO TUBO COM ENCHIMENTO
DO RASGO NO CONCRETO COM ARGAMASSA (VASO)</t>
  </si>
  <si>
    <t>4.3</t>
  </si>
  <si>
    <t>ED-50224</t>
  </si>
  <si>
    <t>PONTO DE EMBUTIR PARA ESGOTO EM TUBO PVC RÍGIDO, PBV -
SÉRIE NORMAL, DN 50MM (2"), EMBUTIDO EM PISO COM
DISTÂNCIA DE ATÉ CINCO (5) METROS DO RAMAL DE ESGOTO,
EXCLUSIVE ESCAVAÇÃO, INCLUSIVE CONEXÕES E FIXAÇÃO DO
TUBO COM ENCHIMENTO DO RASGO NO CONCRETO COM
ARGAMASSA (PIA E TANQUE)</t>
  </si>
  <si>
    <t>4.4</t>
  </si>
  <si>
    <t>ED-50011</t>
  </si>
  <si>
    <t xml:space="preserve">CAIXA SIFONADA EM PVC COM GRELHA REDONDA 100 X 100 X 50
MM </t>
  </si>
  <si>
    <t>UN</t>
  </si>
  <si>
    <t>4.5</t>
  </si>
  <si>
    <t>ED-50221</t>
  </si>
  <si>
    <t>4.6</t>
  </si>
  <si>
    <t>ED-49936</t>
  </si>
  <si>
    <t>CAIXA D'ÁGUA DE POLIETILENO, CAPACIDADE DE 1.000L,
INCLUSIVE TAMPA, TORNEIRA DE BOIA, EXTRAVASOR, TUBO DE
LIMPEZA E ACESSÓRIOS, EXCLUSIVE TUBULAÇÃO DE ENTRADA/
SAÍDA DE ÁGUA</t>
  </si>
  <si>
    <t>ED-49844</t>
  </si>
  <si>
    <t xml:space="preserve">ADAPTADOR SOLDÁVEL DE PVC MARROM COM FLANGES E ANEL PARA CAIXA DÁGUA Ø 20 MM X 1/2" </t>
  </si>
  <si>
    <t>ED-49848</t>
  </si>
  <si>
    <t>ADAPTADOR SOLDÁVEL DE PVC MARROM COM FLANGES E ANEL PARA CAIXA DÁGUA Ø 50 MM X 1 1/2"</t>
  </si>
  <si>
    <t>ED-50304</t>
  </si>
  <si>
    <t>TORNEIRA DE BOIA, TIPO ROSCÁVEL 3/4", EXCLUSIVE
ADAPTADOR SOLDÁVEL DE PVC COM FLANGES E ANEL PARA
CAIXA DÁGUA</t>
  </si>
  <si>
    <t>ED-50029</t>
  </si>
  <si>
    <t>FORNECIMENTO E ASSENTAMENTO DE TUBO PVC RÍGIDO,
ESGOTO, PBV - SÉRIE NORMAL, DN 100 MM (4"), INCLUSIVE
CONEXÕES</t>
  </si>
  <si>
    <t>ED-50031</t>
  </si>
  <si>
    <t>FORNECIMENTO E ASSENTAMENTO DE TUBO PVC RÍGIDO,
ESGOTO, PBV - SÉRIE NORMAL, DN 200 MM (8"), INCLUSIVE
CONEXÕES</t>
  </si>
  <si>
    <t>ED-50018</t>
  </si>
  <si>
    <t>FORNECIMENTO E ASSENTAMENTO DE TUBO PVC RÍGIDO SOLDÁVEL, ÁGUA FRIA, DN 20 MM (1/2"), INCLUSIVE CONEXÕES</t>
  </si>
  <si>
    <t>ED-50019</t>
  </si>
  <si>
    <t>FORNECIMENTO E ASSENTAMENTO DE TUBO PVC RÍGIDO SOLDÁVEL, ÁGUA FRIA, DN 25 MM (3/4") , INCLUSIVE CONEXÕES</t>
  </si>
  <si>
    <t>PISOS E AZULEJOS</t>
  </si>
  <si>
    <t xml:space="preserve"> ED-48502</t>
  </si>
  <si>
    <t>DEMOLIÇÃO MANUAL DE REVESTIMENTO
CERÂMICO, AZULEJO OU LADRILHO HIDRÁULICO, INCLUSIVE
AFASTAMENTO E EMPILHAMENTO, EXCLUSIVE DEMOLIÇÃO DO
REBOCO OU EMBOÇO, TRANSPORTE E RETIRADA DO MATERIAL
DEMOLIDO</t>
  </si>
  <si>
    <t>5.1</t>
  </si>
  <si>
    <t>ED-9081</t>
  </si>
  <si>
    <t>REVESTIMENTO COM CERÂMICA APLICADO EM PAREDE, ACABAMENTO ESMALTADO, AMBIENTE INTERNO/EXTERNO, PADRÃO EXTRA, DIMENSÃO DA PEÇA ATÉ 2025 CM2, PEI III, ASSENTAMENTO COM ARGAMASSA INDUSTRIALIZADA, INCLUSIVE REJUNTAMENTO</t>
  </si>
  <si>
    <t>5.2</t>
  </si>
  <si>
    <t>ED-50568</t>
  </si>
  <si>
    <t>CONTRAPISO DESEMPENADO COM ARGAMASSA, TRAÇO 1:3 (CIMENTO E AREIA), ESP. 30MM, INCLUSIVE ARGAMASSA COM PREPARO MECANIZADO</t>
  </si>
  <si>
    <t>5.3</t>
  </si>
  <si>
    <t>5.4</t>
  </si>
  <si>
    <t>ED-50571</t>
  </si>
  <si>
    <t>PISO EM CONCRETO PREPARADO EM OBRA COM BETONEIRA COM FCK DE 13,5MPA, SEM ARMAÇÃO, ACABAMENTO RÚSTICO, ESP. 8CM, INCLUSIVE FORNECIMENTO, LANÇAMENTO, ADENSAMENTO, SARRAFEAMENTO, EXCLUSIVE JUNTA DE DILATAÇÃO</t>
  </si>
  <si>
    <t>5.5</t>
  </si>
  <si>
    <t>ESQUADRIAS</t>
  </si>
  <si>
    <t>ED-48497</t>
  </si>
  <si>
    <t>REMOÇÃO MANUAL DE ESQUADRIA METÁLICA,
COM REAPROVEITAMENTO, INCLUSIVE MARCO/ALIZAR/GUARNIÇÕES,
AFASTAMENTO E EMPILHAMENTO, EXCLUSIVE TRANSPORTE E
RETIRADA DO MATERIAL REMOVIDO NÃO REAPROVEITÁVEL</t>
  </si>
  <si>
    <t>6.1</t>
  </si>
  <si>
    <t>ED-49592</t>
  </si>
  <si>
    <t>MARCO DE MADEIRA, DIMENSÃO (90X210)CM, LARGURA DE 14CM,
ACABAMENTO NATURAL PARA PINTURA/VERNIZ, INCLUSIVE
ASSENTAMENTO, EXCLUSIVE FOLHA DE PORTA, FERRAGENS E
PINTURA/VERNIZ</t>
  </si>
  <si>
    <t>6.2</t>
  </si>
  <si>
    <t>ED-49588</t>
  </si>
  <si>
    <t>FOLHA DE PORTA EM MADEIRA, DIMENSÃO (90X210)CM,
ACABAMENTO NATURAL PARA PINTURA/VERNIZ, TIPO
PRANCHETA/SARRAFEADA, INCLUSIVE ASSENTAMENTO,
EXCLUSIVE MARCO, FERRAGENS E PINTURA/VERNIZ</t>
  </si>
  <si>
    <t>6.3</t>
  </si>
  <si>
    <t>ED-51159</t>
  </si>
  <si>
    <t>VIDRO TEMPERADO TRANSPARENTE INCOLOR, ESP. 8MM,
INCLUSIVE FIXAÇÃO E VEDAÇÃO COM GUARNIÇÃO/GAXETA DE
BORRACHA NEOPRENE, FORNECIMENTO E INSTALAÇÃO,
EXCLUSIVE CAIXILHO/PERFIL</t>
  </si>
  <si>
    <t>ED-51160</t>
  </si>
  <si>
    <t>VIDRO TEMPERADO TRANSPARENTE INCOLOR, ESP. 10MM,
INCLUSIVE FIXAÇÃO E VEDAÇÃO COM GUARNIÇÃO/GAXETA DE
BORRACHA NEOPRENE, FORNECIMENTO E INSTALAÇÃO,
EXCLUSIVE CAIXILHO/PERFIL</t>
  </si>
  <si>
    <t>6.4</t>
  </si>
  <si>
    <t>ED-49700</t>
  </si>
  <si>
    <t>FECHADURA TIPO INTERNA (GORGE), GRAU DE SEGURANÇA
MÉDIO, DISTÂNCIA DE BROCA 40MM, ACABAMENTO COM
ESPELHO CROMADO E MAÇANETA MODELO ALAVANCA EM
ZAMAC, INCLUSIVE ACESSÓRIOS PARA FIXAÇÃO E DUAS (2)
CHAVES</t>
  </si>
  <si>
    <t>6.5</t>
  </si>
  <si>
    <t>ED-49697</t>
  </si>
  <si>
    <t>DOBRADIÇA DE FERRO, MEDIDAS (3"X2.1/2"), TIPO PINO SOLTO
COM BOLA, ACABAMENTO CROMADO, INCLUSIVE ACESSÓRIOS
PARA FIXAÇÃO</t>
  </si>
  <si>
    <t>PINTURA</t>
  </si>
  <si>
    <t>7.1</t>
  </si>
  <si>
    <t>7.2</t>
  </si>
  <si>
    <t>ED-50451</t>
  </si>
  <si>
    <t>PINTURA ACRÍLICA EM PAREDE, DUAS (2) DEMÃOS, COM
APLICAÇÃO MANUAL, EXCLUSIVE SELADOR ACRÍLICO E MASSA
ACRÍLICA/CORRIDA (PVA)</t>
  </si>
  <si>
    <t>ED-50498</t>
  </si>
  <si>
    <t>PINTURA LÁTEX (PVA) EM PAREDE, DUAS (2) DEMÃOS, COM
APLICAÇÃO MANUAL, EXCLUSIVE SELADOR ACRÍLICO E MASSA
ACRÍLICA/CORRIDA (PVA)</t>
  </si>
  <si>
    <t>7.3</t>
  </si>
  <si>
    <t>ED-50514</t>
  </si>
  <si>
    <t>PREPARAÇÃO PARA EMASSAMENTO OU PINTURA (LÁTEX/
ACRÍLICA) EM PAREDE, INCLUSIVE UMA (1) DEMÃO DE SELADOR
ACRÍLICO</t>
  </si>
  <si>
    <t>7.4</t>
  </si>
  <si>
    <t>7.5</t>
  </si>
  <si>
    <t>INSTALAÇÃO ELÉTRICA</t>
  </si>
  <si>
    <t>8.1</t>
  </si>
  <si>
    <t>ED-13338</t>
  </si>
  <si>
    <t>LUMINÁRIA COMERCIAL CHANFRADA DE SOBREPOR COMPLETA,
PARA DUAS (2) LÂMPADAS TUBULARES LED 2X18W-ØT8,
TEMPERATURA DA COR 6500K, FORNECIMENTO E INSTALAÇÃO,
INCLUSIVE BASE E LÂMPADAS</t>
  </si>
  <si>
    <t xml:space="preserve">UN    </t>
  </si>
  <si>
    <t>8.2</t>
  </si>
  <si>
    <t>ED-48951</t>
  </si>
  <si>
    <t>CABO DE COBRE FLEXÍVEL, CLASSE 5, ISOLAMENTO TIPO LSHF/
ATOX, NÃO HALOGENADO, ANTICHAMA, TERMOPLÁSTICO,
UNIPOLAR, SEÇÃO 2,5 MM2, 70°C, 450/750V</t>
  </si>
  <si>
    <t>8.3</t>
  </si>
  <si>
    <t>ED-48961</t>
  </si>
  <si>
    <t>CABO DE COBRE FLEXÍVEL, CLASSE 5, ISOLAMENTO TIPO LSHF/
ATOX, NÃO HALOGENADO, ANTICHAMA, TERMOPLÁSTICO,
UNIPOLAR, SEÇÃO 6 MM2, 70°C, 450/750V</t>
  </si>
  <si>
    <t>8.4</t>
  </si>
  <si>
    <t>ED-15748</t>
  </si>
  <si>
    <t>CONJUNTO DE UMA (1) TOMADA PADRÃO, TRÊS (3) POLOS,
CORRENTE 10A, TENSÃO 250V, (2P+T/10A-250V), COM PLACA 4"X2"
DE UM (1) POSTO, INCLUSIVE FORNECIMENTO, INSTALAÇÃO,
SUPORTE, MÓDULO E PLACA</t>
  </si>
  <si>
    <t>8.5</t>
  </si>
  <si>
    <t>ED-15740</t>
  </si>
  <si>
    <t>CONJUNTO DE DOIS (2) INTERRUPTORES BIPOLAR SIMPLES,
CORRENTE 10A, TENSÃO 250V, (10A-250V), COM PLACA 4"X2" DE
DOIS (2) POSTOS, INCLUSIVE FORNECIMENTO, INSTALAÇÃO,
SUPORTE, MÓDULO E PLACA</t>
  </si>
  <si>
    <t>8.6</t>
  </si>
  <si>
    <t>ED-14181</t>
  </si>
  <si>
    <t>QUADRO DE DISTRIBUIÇÃO DE EMBUTIR EM PVC, PARA 12
DISJUNTORES DIN, INCLUSIVE BARRAMENTOS NEUTRO/TERRA,
EXCLUSIVE BARRAMENTO DE FASE</t>
  </si>
  <si>
    <t>ED-34464</t>
  </si>
  <si>
    <t>DISJUNTOR MONOPOLAR TIPO DIN, CORRENTE NOMINAL DE 32A,
FORNECIMENTO E INSTALAÇÃO, INCLUSIVE TERMINAL ILHÓS</t>
  </si>
  <si>
    <t>ED-34479</t>
  </si>
  <si>
    <t>DISJUNTOR BIPOLAR TIPO DIN, CORRENTE NOMINAL DE 50A,
FORNECIMENTO E INSTALAÇÃO, INCLUSIVE TERMINAL ILHÓS</t>
  </si>
  <si>
    <t>LOUÇAS E METAIS</t>
  </si>
  <si>
    <t>9.1</t>
  </si>
  <si>
    <t>ED-50297</t>
  </si>
  <si>
    <t>BACIA SANITÁRIA (VASO) DE LOUÇA COM CAIXA ACOPLADA, COR
BRANCA, INCLUSIVE ACESSÓRIOS DE FIXAÇÃO/VEDAÇÃO,
ENGATE FLEXÍVEL METÁLICO E REJUNTAMENTO, EXCLUSIVE
ASSENTO</t>
  </si>
  <si>
    <t>9.2</t>
  </si>
  <si>
    <t>9.3</t>
  </si>
  <si>
    <t>9.4</t>
  </si>
  <si>
    <t>ED-50329</t>
  </si>
  <si>
    <t>TORNEIRA METÁLICA PARA LAVATÓRIO, FECHAMENTO
AUTOMÁTICO, ACABAMENTO CROMADO, COM AREJADOR,
APLICAÇÃO DE MESA, INCLUSIVE ENGATE FLEXÍVEL METÁLICO</t>
  </si>
  <si>
    <t>9.5</t>
  </si>
  <si>
    <t>ED-50286</t>
  </si>
  <si>
    <t>MICTÓRIO SIFONADO DE LOUÇA BRANCA, INCLUSIVE ENGATE
FLEXÍVEL, EXCLUSIVE VÁLVULA DE DESCARGA</t>
  </si>
  <si>
    <t>9.6</t>
  </si>
  <si>
    <t>ED-50348</t>
  </si>
  <si>
    <t>VÁLVULA DE DESCARGA METÁLICA PARA MICTÓRIO COM
FECHAMENTO AUTOMÁTICO, EXCLUSIVE MICTÓRIO</t>
  </si>
  <si>
    <t>ED-48344</t>
  </si>
  <si>
    <t>BANCADA EM GRANITO CINZA ANDORINHA E = 3 CM, APOIADA EM ALVENARIA</t>
  </si>
  <si>
    <t>ED-50277</t>
  </si>
  <si>
    <t>CUBA EM AÇO INOXIDÁVEL DE EMBUTIR, AISI 304,
APLICAÇÃO PARA PIA (465X330X115MM), NÚMERO 1, ASSENTAMENTO
EM BANCADA, INCLUSIVE VÁLVULA DE ESCOAMENTO DE METAL
COM ACABAMENTO CROMADO, SIFÃO DE METAL TIPO COPO COM
ACABAMENTO CROMADO</t>
  </si>
  <si>
    <t>10.1</t>
  </si>
  <si>
    <t>LIMPEZA</t>
  </si>
  <si>
    <t>ED-50266</t>
  </si>
  <si>
    <t>LIMPEZA FINAL PARA ENTREGA DA OBRA</t>
  </si>
  <si>
    <t>Eng. Civil: José Airton Junho dos Reis</t>
  </si>
  <si>
    <t>CREA: 56.250/D</t>
  </si>
  <si>
    <t>Prefeito Municipal</t>
  </si>
  <si>
    <t>banheiro</t>
  </si>
  <si>
    <t>muro</t>
  </si>
  <si>
    <t>31,5*1,85</t>
  </si>
  <si>
    <t>sinteco piso em madeira</t>
  </si>
  <si>
    <t>Luís Fernando Rosa de Castro</t>
  </si>
  <si>
    <t>3.5</t>
  </si>
  <si>
    <t>PONTO DE EMBUTIR PARA ÁGUA FRIA EM TUBO DE PVC RÍGIDO SOLDÁVEL, DN 20MM (1/2"), EMBUTIDO NA ALVENARIA COM DISTÂNCIA DE ATÉ CINCO (5) METROS DA TOMADA DE ÁGUA, INCLUSIVE CONEXÕES E FIXAÇÃO DO TUBO COM ENCHIMENTO
DO RASGO NA ALVENARIA/CONCRETO COM ARGAMASSA</t>
  </si>
  <si>
    <t>COT.</t>
  </si>
  <si>
    <t>PISO C/FORRAÇÃO TÊXTIL ( CARPETE E = 4mm a 5mm)</t>
  </si>
  <si>
    <t>SINTECO SOBRE PISO DE MADEIRA</t>
  </si>
  <si>
    <t>PREPARAÇÃO, LIXAMENTO PARA APLICAÇÃO DO SINTECO</t>
  </si>
  <si>
    <t>3.6</t>
  </si>
  <si>
    <t>4.7</t>
  </si>
  <si>
    <t>4.8</t>
  </si>
  <si>
    <t>4.9</t>
  </si>
  <si>
    <t>4.10</t>
  </si>
  <si>
    <t>4.11</t>
  </si>
  <si>
    <t>4.12</t>
  </si>
  <si>
    <t>4.13</t>
  </si>
  <si>
    <t>4.14</t>
  </si>
  <si>
    <t>6.6</t>
  </si>
  <si>
    <t>6.7</t>
  </si>
  <si>
    <t>8.7</t>
  </si>
  <si>
    <t>8.8</t>
  </si>
  <si>
    <t>END.: AVENIDA CORONEL DOMINGOS ROSA, Nº. 45. CENTRO</t>
  </si>
  <si>
    <r>
      <rPr>
        <b/>
        <sz val="11"/>
        <rFont val="Arial"/>
        <family val="2"/>
      </rPr>
      <t>PREFEITURA MUNICIPAL DE CONCEIÇÃO DOS OUROS</t>
    </r>
    <r>
      <rPr>
        <sz val="10"/>
        <rFont val="Arial"/>
        <family val="2"/>
      </rPr>
      <t xml:space="preserve">
Praça José Maria de Souza, nº 01 - Centro, CEP 37548-000</t>
    </r>
  </si>
  <si>
    <t>CRONOGRAMA FÍSICO-FINANCEIRO</t>
  </si>
  <si>
    <t>VALOR DA OBRA:</t>
  </si>
  <si>
    <t>ETAPAS/DESCRIÇÃO</t>
  </si>
  <si>
    <t>FÍSICO/ FINANCEIRO</t>
  </si>
  <si>
    <t>TOTAL  ETAPAS</t>
  </si>
  <si>
    <t>30 DIAS</t>
  </si>
  <si>
    <t xml:space="preserve">60 DIAS </t>
  </si>
  <si>
    <t>90 DIAS</t>
  </si>
  <si>
    <t>120 DIAS</t>
  </si>
  <si>
    <t>150 DIAS</t>
  </si>
  <si>
    <t>180 DIAS</t>
  </si>
  <si>
    <t>Físico %</t>
  </si>
  <si>
    <t>Financeiro</t>
  </si>
  <si>
    <t xml:space="preserve"> </t>
  </si>
  <si>
    <t>Observações:</t>
  </si>
  <si>
    <t>_________________________________________</t>
  </si>
  <si>
    <t>PRAZO DA OBRA: 90 DIAS</t>
  </si>
  <si>
    <t>DATA: 26/11/2025</t>
  </si>
  <si>
    <t>LOCAL: AVENIDA CORONEL DOMINGOS ROSA, Nº. 45. CENTRO</t>
  </si>
  <si>
    <r>
      <rPr>
        <b/>
        <sz val="11"/>
        <color theme="1"/>
        <rFont val="Calibri"/>
        <family val="2"/>
        <scheme val="minor"/>
      </rPr>
      <t>PREFEITURA MUNICIPAL DE CONCEIÇÃO DOS OUROS</t>
    </r>
    <r>
      <rPr>
        <sz val="11"/>
        <color theme="1"/>
        <rFont val="Calibri"/>
        <family val="2"/>
        <scheme val="minor"/>
      </rPr>
      <t xml:space="preserve">
Praça José Maria de Souza, 01 - Centro, CEP 37.548-000</t>
    </r>
  </si>
  <si>
    <t>MEMORIAL DESCRITIVO DOS SERVIÇOS</t>
  </si>
  <si>
    <t>MEMORIAL DESCRITIVO</t>
  </si>
  <si>
    <t>Fornecimento e instalação da placa de obra - medida 3,00 x 1,50 m</t>
  </si>
  <si>
    <t>Execução de cinta de amarração de alvenaria com utilização de blocos canaleta</t>
  </si>
  <si>
    <t>Fornecimento e instalação de estrutura metálica e engradamento metálico, em aço, para telhado, inclusive transporte, montagem e fundo anticorrosivo</t>
  </si>
  <si>
    <t>Fornecimento e instalação de telha metálica galvanizada trapezoidal, tipo simples, esp. 0,50mm, inclusive acessórios para fixação</t>
  </si>
  <si>
    <t>Fornecimento e instalação de rufo e contrarrufo em chapa galvanizada para a cobertura</t>
  </si>
  <si>
    <t>Fornecimento e instalação de calha em chapa galvanizada para a cobertura</t>
  </si>
  <si>
    <t>Fornecimento e instalação de condutor de águas pluviais para telhado em tubo de pvc diâmetro de 100mm</t>
  </si>
  <si>
    <t>02 unidades</t>
  </si>
  <si>
    <t>01 unidade</t>
  </si>
  <si>
    <t>18 metros aproximadamente</t>
  </si>
  <si>
    <t>Execução de revestimento com cerâmica aplicado em parede, inclusive rejuntamento</t>
  </si>
  <si>
    <t>Fornecimento e instalação de vidro temperado esp. 8 mm para janelas</t>
  </si>
  <si>
    <t>Fornecimento e instalação de vidro temperado esp. 10 mm para portas (vidro jateado)</t>
  </si>
  <si>
    <t>Pintura acrílica nas paredes da construção, mínimo duas demãos de tinta</t>
  </si>
  <si>
    <t>Fundo selador nas paredes da construção, mínimo uma demão de tinta</t>
  </si>
  <si>
    <t>12 unidades</t>
  </si>
  <si>
    <t>04 unidades</t>
  </si>
  <si>
    <t>Execução de limpeza permanente e final para entrega da obra</t>
  </si>
  <si>
    <r>
      <t xml:space="preserve">PREFEITURA MUNICIPAL DE CONCEIÇÃO DOS OUROS
</t>
    </r>
    <r>
      <rPr>
        <sz val="11"/>
        <color theme="1"/>
        <rFont val="Calibri"/>
        <family val="2"/>
        <scheme val="minor"/>
      </rPr>
      <t>Praça José Maria de Souza, 01 - Centro, CEP 37.548-000</t>
    </r>
  </si>
  <si>
    <t>OBRA</t>
  </si>
  <si>
    <t>Conforme legislação tributária municipal, definir estimativa de percentual da base de cálculo para o ISS:</t>
  </si>
  <si>
    <t>Sobre a base de cálculo, definir a respectiva alíquota do ISS (entre 2% e 5%):</t>
  </si>
  <si>
    <t xml:space="preserve">BDI </t>
  </si>
  <si>
    <t>TIPO DE OBRA</t>
  </si>
  <si>
    <t>Construção e Reforma de Edifícios</t>
  </si>
  <si>
    <t>Itens</t>
  </si>
  <si>
    <t>Siglas</t>
  </si>
  <si>
    <t>% Adotado</t>
  </si>
  <si>
    <t>Situação</t>
  </si>
  <si>
    <t>1º Quartil</t>
  </si>
  <si>
    <t>Médio</t>
  </si>
  <si>
    <t>3º Quartil</t>
  </si>
  <si>
    <t>AC</t>
  </si>
  <si>
    <t>-</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</si>
  <si>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</si>
  <si>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</si>
  <si>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</si>
  <si>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</si>
  <si>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</si>
  <si>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</si>
  <si>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</si>
  <si>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</si>
  <si>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</si>
  <si>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</si>
  <si>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</si>
  <si>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</si>
  <si>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OK</t>
  </si>
  <si>
    <t>BDI COM desoneração</t>
  </si>
  <si>
    <t>BDI DES</t>
  </si>
  <si>
    <t>Os valores de BDI foram calculados com o emprego da fórmula:</t>
  </si>
  <si>
    <t xml:space="preserve">BDI = </t>
  </si>
  <si>
    <t>(1+AC+S+R+G)*(1+DF)*(1+L)    - 1</t>
  </si>
  <si>
    <t xml:space="preserve">               (1-CP-ISS-CRPB)</t>
  </si>
  <si>
    <t>Declaro para os devidos fins que, conforme legislação tributária municipal, a base de cálculo deste tipo de obra corresponde à 100%, com a respectiva alíquota de 3,00%</t>
  </si>
  <si>
    <t>Declaro para os devidos fins que o regime de Contribuição Previdenciária sobre a Receita Bruta adotado para elaboração do orçamento foi COM Desoneração, e que esta é a alternativa mais adequada para a Administração Pública.")</t>
  </si>
  <si>
    <t>OBRA: REFORMA DO CINE OUROS</t>
  </si>
  <si>
    <t>REFORMA DO CINE OUROS</t>
  </si>
  <si>
    <t>Demolição manual de alvenaria de vedação</t>
  </si>
  <si>
    <t>Execução de alvenaria de vedação</t>
  </si>
  <si>
    <t>Demolição manual de reboco</t>
  </si>
  <si>
    <t>Reboco nas paredes de alvenaria</t>
  </si>
  <si>
    <t>Fornecimento e instalação de estrutura metálica e engradamento metálico, em aço, sobre laje para telha cerâmica, inclusive fabricação, transporte e montagem</t>
  </si>
  <si>
    <t>06 unidades</t>
  </si>
  <si>
    <t>03 unidades</t>
  </si>
  <si>
    <t>36 metros aproximadamente</t>
  </si>
  <si>
    <t>Demolição manual de revestimento cerâmico, inclusive afastamento e empilhamento</t>
  </si>
  <si>
    <t>Execução de contrapiso desempenado com argamassa</t>
  </si>
  <si>
    <t>Fornecimento e execução de piso com forração têxtil (carpete) para a sala onde estão localizadas as poltronas do cinema</t>
  </si>
  <si>
    <t>Fornecimento e execução de piso em concreto preparado em obra com betoneira, espessura de 8 cm, inclusive lançamento, adensamento e sarrafeamento</t>
  </si>
  <si>
    <t>Remoção manual de esquadrias metálicas, inclusive afastamento e empilhamento</t>
  </si>
  <si>
    <t>Fornecimento e aplicação do sinteco para acabamento do piso de madeira na sala onde estão localizadas as poltronas do cinema</t>
  </si>
  <si>
    <t>Pintura látex (PVA) nas paredes da construção, mínimo duas demãos de tinta</t>
  </si>
  <si>
    <t>Preparação do piso de madeira para aplicação do sinteco</t>
  </si>
  <si>
    <t>07 unidades</t>
  </si>
  <si>
    <t>100 metros aproximadamente</t>
  </si>
  <si>
    <t>08 unidades</t>
  </si>
  <si>
    <t>AMPLAMINAS ENGENHARIA LTDA</t>
  </si>
  <si>
    <t>RENATA APARECIDA FIGUEIREDO SOARES - ENGENHEIRA CIVIL - CREA: 80.591/D</t>
  </si>
  <si>
    <t>DATA: 16/12/2025</t>
  </si>
  <si>
    <t>Eng Civil: Renata Aparecida Figueiredo Soares</t>
  </si>
  <si>
    <t>CREA 80.591/D</t>
  </si>
  <si>
    <t>Amplaminas Engenharia Ltda</t>
  </si>
  <si>
    <t>Renata Aparecida Figueiredo Soares</t>
  </si>
  <si>
    <t>80.591/D</t>
  </si>
  <si>
    <t>CP 011-2025       Data: 16/12/2025</t>
  </si>
  <si>
    <t>CREA:</t>
  </si>
  <si>
    <r>
      <rPr>
        <b/>
        <sz val="10"/>
        <color theme="1"/>
        <rFont val="Calibri"/>
        <family val="2"/>
        <scheme val="minor"/>
      </rPr>
      <t>PREFEITURA MUNICIPAL DE CONCEIÇÃO DOS OUROS</t>
    </r>
    <r>
      <rPr>
        <sz val="10"/>
        <color theme="1"/>
        <rFont val="Calibri"/>
        <family val="2"/>
        <scheme val="minor"/>
      </rPr>
      <t xml:space="preserve">
Rua Vasco Gusmão Martins, 108 - Centro, CEP 37690-000</t>
    </r>
  </si>
  <si>
    <t>OBRA:  REFORMA DO CINE OUROS</t>
  </si>
  <si>
    <t>CARGA MANUAL DE MATERIAL DE QUALQUER NATUREZA SOBRE CAMINHÃO, EXCLUSIVE TRANSPORTE</t>
  </si>
  <si>
    <t>ED-51131</t>
  </si>
  <si>
    <t>m3</t>
  </si>
  <si>
    <t>TRANSPORTE DE MATERIAL DE QUALQUER NATUREZA EM CAÇAMBA DE 5M3</t>
  </si>
  <si>
    <t>02.29.01</t>
  </si>
  <si>
    <t>VG</t>
  </si>
  <si>
    <t>CHAPISCO COM ARGAMASSA, TRAÇO 1:3 (CIMENTO E AREIA), ESP. 5MM, APLICADO EM ALVENARIA/ESTRUTURA DE CONCRETO COM COLHER, INCLUSIVE ARGAMASSA COM PREPARO MECANIZADO</t>
  </si>
  <si>
    <t>ED-50727</t>
  </si>
  <si>
    <t>RASGO LINEAR MANUAL EM ALVENARIA, PARA RAMAIS/ DISTRIBUIÇÃO DE INSTALAÇÕES HIDRÁULICAS, DIÂMETROS MENORES OU IGUAIS A 40 MM. AF_09/2023</t>
  </si>
  <si>
    <t>GRAMPEAMENTO DE ALVENARIA</t>
  </si>
  <si>
    <t>CHUMBAMENTO LINEAR EM ALVENARIA PARA RAMAIS/DISTRIBUIÇÃO DE INSTALAÇÕES HIDRÁULICAS COM DIÂMETROS MENORES OU IGUAIS A 40 MM. AF_09/2023</t>
  </si>
  <si>
    <t>CORTE E DOBRA DE AÇO CA-50, DIÂMETRO DE 10,0 MM. AF_06/2022</t>
  </si>
  <si>
    <t>PLANILHA COMPENSATÓRIA DA 1 MEDIÇÃO - 16/02/2026</t>
  </si>
  <si>
    <t>SERVIÇOS EXECUTADOS NÃO CONTEMPLADOS EM PLANILHA DE CONTRATO</t>
  </si>
  <si>
    <t>ITENS PLANILHADOS COM SALDO A SER COMPENSAR  PELOS SERVIÇOS EXECUTADOS</t>
  </si>
  <si>
    <t>A</t>
  </si>
  <si>
    <t>A.1</t>
  </si>
  <si>
    <t>A.2</t>
  </si>
  <si>
    <t>A.3</t>
  </si>
  <si>
    <t>A.4</t>
  </si>
  <si>
    <t>A.5</t>
  </si>
  <si>
    <t>A.6</t>
  </si>
  <si>
    <t>1 MEDIÇÃO - 13/012026 a 13/02/2026</t>
  </si>
  <si>
    <t xml:space="preserve">OBRA:  REFORMA DO CINE OUROS </t>
  </si>
  <si>
    <t>contrato</t>
  </si>
  <si>
    <t>1 medição</t>
  </si>
  <si>
    <t>pç</t>
  </si>
  <si>
    <t>ADAPTADOR CURTO COM BOLSA E ROSCA PARA REGISTRO, PVC, SOLDÁVEL, DN 25 MM X 3/4", INSTALADO EM RESERVAÇÃO PREDIAL DE ÁGUA - FORNECIMENTO E INSTALAÇÃO. AF_04/2024</t>
  </si>
  <si>
    <t>FORNECIMENTO E ASSENTAMENTO DE TUBO PVC RÍGIDO SOLDÁVEL, ÁGUA FRIA, DN 50 MM (1.1/2"), INCLUSIVE CONEXÕES</t>
  </si>
  <si>
    <t>ED-50022</t>
  </si>
  <si>
    <t>SERVIÇOS EXECUTADOS E CONTEMPLADOS EM PLANILHA DE CONTRATO</t>
  </si>
  <si>
    <r>
      <t xml:space="preserve">FORRO EM MADEIRA PINUS, PARA AMBIENTES RESIDENCIAIS E COMERCIAIS, INCLUSIVE ESTRUTURA BIDIRECIONAL DE FIXAÇÃO. AF_08/2023 - </t>
    </r>
    <r>
      <rPr>
        <b/>
        <sz val="10"/>
        <color theme="1"/>
        <rFont val="Calibri"/>
        <family val="2"/>
        <scheme val="minor"/>
      </rPr>
      <t>USADO PARA SUPORTAR A CAIXA D´ÁGUA</t>
    </r>
  </si>
  <si>
    <t>REGISTRO DE GAVETA BRUTO, LATÃO, ROSCÁVEL, 3/4", COM ACABAMENTO E CANOPLA CROMADOS - FORNECIMENTO E INSTALAÇÃO. AF_08/2021</t>
  </si>
  <si>
    <t>ED-48464</t>
  </si>
  <si>
    <r>
      <t>REMOÇÃO MANUAL DE FORRO DE TÁBUAS DE PINHO, COM REAPROVEITAMENTO, INCLUSIVE AFASTAMENTO E EMPILHAMENTO, EXCLUSIVE REMOÇÃO DA ESTRUTURA DE SUSTENTAÇÃO, TRANSPORTE E RETIRADA DO MATERIAL REMOVIDO NÃO REAPROVEITÁVEL -</t>
    </r>
    <r>
      <rPr>
        <b/>
        <sz val="10"/>
        <color theme="1"/>
        <rFont val="Calibri"/>
        <family val="2"/>
        <scheme val="minor"/>
      </rPr>
      <t xml:space="preserve"> PARA PASSAGEM DAS CAIXAS D´ÁGUA</t>
    </r>
  </si>
  <si>
    <t>A.7</t>
  </si>
  <si>
    <t>A.8</t>
  </si>
  <si>
    <t>1 MEDIÇÃO - 13/01/2026 a 13/02/2026</t>
  </si>
  <si>
    <t>PLANILHA COMPENSATÓRIA DA 2 MEDIÇÃO - 16/03/2026</t>
  </si>
  <si>
    <t>Quantidade Contratual</t>
  </si>
  <si>
    <t>Quantidade acumulada anterior</t>
  </si>
  <si>
    <t>Quantidade medida</t>
  </si>
  <si>
    <t>Quantidade acumulada</t>
  </si>
  <si>
    <t>Saldo quantitativos</t>
  </si>
  <si>
    <t>Valor da medição</t>
  </si>
  <si>
    <t>Valor acumulado</t>
  </si>
  <si>
    <t>Saldo financeiro por item</t>
  </si>
  <si>
    <t>2 medição</t>
  </si>
  <si>
    <t>soma</t>
  </si>
  <si>
    <t>Custo Unitário (R$)</t>
  </si>
  <si>
    <t>Unitário com BDI (R$)</t>
  </si>
  <si>
    <t>Item</t>
  </si>
  <si>
    <t>Código</t>
  </si>
  <si>
    <t>Descrição</t>
  </si>
  <si>
    <t>Unid.</t>
  </si>
  <si>
    <t>3 MEDIÇÃO - 13/03/2026 a 13/04/2026</t>
  </si>
  <si>
    <t>3 medição</t>
  </si>
  <si>
    <t>4 MEDIÇÃO - 13/05/2026 a 13/06/2026</t>
  </si>
  <si>
    <t>4 medição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</si>
</sst>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 #,##0_-;_-* &quot;-&quot;_-;_-@_-"/>
    <numFmt numFmtId="43" formatCode="_-* #,##0.00_-;\-* #,##0.00_-;_-* &quot;-&quot;??_-;_-@_-"/>
    <numFmt numFmtId="164" formatCode="_-* #,##0_-;\-* #,##0_-;_-* &quot;-&quot;??_-;_-@_-"/>
    <numFmt numFmtId="165" formatCode="General;General;"/>
    <numFmt numFmtId="166" formatCode="&quot;R$ &quot;#,##0.00"/>
    <numFmt numFmtId="167" formatCode="_(&quot;R$ &quot;* #,##0.00_);_(&quot;R$ &quot;* \(#,##0.00\);_(&quot;R$ &quot;* \-??_);_(@_)"/>
    <numFmt numFmtId="168" formatCode="General;General"/>
  </numFmts>
  <fonts count="33" x14ac:knownFonts="1">
    <font>
      <sz val="11"/>
      <color theme="1"/>
      <name val="Calibri"/>
      <family val="2"/>
      <scheme val="minor"/>
    </font>
    <font>
      <b/>
      <sz val="11"/>
      <color theme="1"/>
      <name val="Calibri"/>
      <family val="2"/>
      <scheme val="minor"/>
    </font>
    <font>
      <sz val="8"/>
      <color theme="1"/>
      <name val="Calibri"/>
      <family val="2"/>
      <scheme val="minor"/>
    </font>
    <font>
      <sz val="8"/>
      <name val="Calibri"/>
      <family val="2"/>
      <scheme val="minor"/>
    </font>
    <font>
      <sz val="8"/>
      <color indexed="8"/>
      <name val="Calibri"/>
      <family val="2"/>
    </font>
    <font>
      <b/>
      <sz val="8"/>
      <color indexed="8"/>
      <name val="Calibri"/>
      <family val="2"/>
    </font>
    <font>
      <sz val="11"/>
      <color indexed="8"/>
      <name val="Calibri"/>
      <family val="2"/>
    </font>
    <font>
      <sz val="10"/>
      <name val="Arial"/>
      <family val="2"/>
    </font>
    <font>
      <b/>
      <sz val="11"/>
      <name val="Arial"/>
      <family val="2"/>
    </font>
    <font>
      <b/>
      <sz val="10"/>
      <name val="Arial"/>
      <family val="2"/>
    </font>
    <font>
      <sz val="10"/>
      <color indexed="8"/>
      <name val="Arial"/>
      <family val="2"/>
    </font>
    <font>
      <b/>
      <sz val="10"/>
      <color indexed="12"/>
      <name val="Arial"/>
      <family val="2"/>
    </font>
    <font>
      <b/>
      <sz val="10"/>
      <color rgb="FF0000FF"/>
      <name val="Arial"/>
      <family val="2"/>
    </font>
    <font>
      <b/>
      <sz val="10"/>
      <color indexed="8"/>
      <name val="Arial"/>
      <family val="2"/>
    </font>
    <font>
      <sz val="11"/>
      <name val="Arial"/>
      <family val="2"/>
    </font>
    <font>
      <sz val="9"/>
      <name val="Arial"/>
      <family val="2"/>
    </font>
    <font>
      <b/>
      <sz val="12"/>
      <name val="Arial"/>
      <family val="2"/>
    </font>
    <font>
      <b/>
      <sz val="12"/>
      <color indexed="10"/>
      <name val="Arial"/>
      <family val="2"/>
    </font>
    <font>
      <sz val="10"/>
      <color indexed="10"/>
      <name val="Arial"/>
      <family val="2"/>
    </font>
    <font>
      <i/>
      <sz val="12"/>
      <name val="Calibri"/>
      <family val="2"/>
    </font>
    <font>
      <i/>
      <u/>
      <sz val="12"/>
      <name val="Calibri"/>
      <family val="2"/>
    </font>
    <font>
      <u/>
      <sz val="10"/>
      <name val="Arial"/>
      <family val="2"/>
    </font>
    <font>
      <sz val="11"/>
      <color theme="0"/>
      <name val="Calibri"/>
      <family val="2"/>
      <scheme val="minor"/>
    </font>
    <font>
      <b/>
      <sz val="10"/>
      <name val="Calibri"/>
      <family val="2"/>
      <scheme val="minor"/>
    </font>
    <font>
      <sz val="10"/>
      <name val="Calibri"/>
      <family val="2"/>
      <scheme val="minor"/>
    </font>
    <font>
      <sz val="10"/>
      <color indexed="8"/>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b/>
      <sz val="10"/>
      <color indexed="8"/>
      <name val="Calibri"/>
      <family val="2"/>
      <scheme val="minor"/>
    </font>
    <font>
      <b/>
      <sz val="10"/>
      <color indexed="9"/>
      <name val="Calibri"/>
      <family val="2"/>
      <scheme val="minor"/>
    </font>
    <font>
      <sz val="11"/>
      <color theme="1"/>
      <name val="Calibri"/>
      <family val="2"/>
      <scheme val="minor"/>
    </font>
    <font>
      <b/>
      <sz val="9"/>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indexed="43"/>
        <bgColor indexed="26"/>
      </patternFill>
    </fill>
    <fill>
      <patternFill patternType="solid">
        <fgColor indexed="31"/>
        <bgColor indexed="42"/>
      </patternFill>
    </fill>
    <fill>
      <patternFill patternType="solid">
        <fgColor indexed="22"/>
        <bgColor indexed="44"/>
      </patternFill>
    </fill>
    <fill>
      <patternFill patternType="solid">
        <fgColor rgb="FF004250"/>
        <bgColor indexed="64"/>
      </patternFill>
    </fill>
  </fills>
  <borders count="4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auto="1"/>
      </top>
      <bottom/>
      <diagonal/>
    </border>
  </borders>
  <cellStyleXfs count="7">
    <xf numFmtId="0" fontId="0" fillId="0" borderId="0"/>
    <xf numFmtId="43" fontId="6" fillId="0" borderId="0" applyFont="0" applyFill="0" applyBorder="0" applyAlignment="0" applyProtection="0"/>
    <xf numFmtId="0" fontId="15" fillId="0" borderId="0"/>
    <xf numFmtId="167" fontId="7" fillId="0" borderId="0" applyFill="0" applyBorder="0" applyAlignment="0" applyProtection="0"/>
    <xf numFmtId="0" fontId="7" fillId="0" borderId="0"/>
    <xf numFmtId="43" fontId="31" fillId="0" borderId="0" applyFont="0" applyFill="0" applyBorder="0" applyAlignment="0" applyProtection="0"/>
    <xf numFmtId="0" fontId="7" fillId="0" borderId="0"/>
  </cellStyleXfs>
  <cellXfs count="334">
    <xf numFmtId="0" fontId="0" fillId="0" borderId="0" xfId="0"/>
    <xf numFmtId="0" fontId="4" fillId="0" borderId="2" xfId="0" applyFont="1" applyBorder="1" applyAlignment="1">
      <alignment horizontal="left" vertical="center"/>
    </xf>
    <xf numFmtId="41" fontId="4" fillId="0" borderId="4" xfId="0" applyNumberFormat="1"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right" vertical="center"/>
    </xf>
    <xf numFmtId="10" fontId="5" fillId="0" borderId="5" xfId="0" applyNumberFormat="1" applyFont="1" applyBorder="1" applyAlignment="1">
      <alignment horizontal="center" vertical="center"/>
    </xf>
    <xf numFmtId="0" fontId="4" fillId="0" borderId="6" xfId="0" applyFont="1" applyBorder="1" applyAlignment="1">
      <alignment horizontal="left" vertical="center"/>
    </xf>
    <xf numFmtId="165" fontId="5" fillId="2" borderId="6" xfId="0" applyNumberFormat="1" applyFont="1" applyFill="1" applyBorder="1" applyAlignment="1">
      <alignment horizontal="left" vertical="center" wrapText="1"/>
    </xf>
    <xf numFmtId="41" fontId="4" fillId="2" borderId="6" xfId="0" applyNumberFormat="1" applyFont="1" applyFill="1" applyBorder="1" applyAlignment="1">
      <alignment horizontal="center" vertical="center"/>
    </xf>
    <xf numFmtId="43" fontId="4" fillId="2" borderId="6" xfId="1" applyFont="1" applyFill="1" applyBorder="1" applyAlignment="1" applyProtection="1">
      <alignment horizontal="right" vertical="center"/>
    </xf>
    <xf numFmtId="43" fontId="4" fillId="0" borderId="6" xfId="1" applyFont="1" applyFill="1" applyBorder="1" applyAlignment="1" applyProtection="1">
      <alignment horizontal="right" vertical="center"/>
    </xf>
    <xf numFmtId="43" fontId="5" fillId="0" borderId="6" xfId="1" applyFont="1" applyBorder="1" applyAlignment="1">
      <alignment horizontal="right" vertical="center"/>
    </xf>
    <xf numFmtId="0" fontId="5" fillId="0" borderId="6" xfId="0" applyFont="1" applyBorder="1" applyAlignment="1">
      <alignment horizontal="left" vertical="center"/>
    </xf>
    <xf numFmtId="43" fontId="4" fillId="2" borderId="6" xfId="1" applyFont="1" applyFill="1" applyBorder="1" applyAlignment="1" applyProtection="1">
      <alignment horizontal="right" vertical="center" wrapText="1"/>
      <protection locked="0"/>
    </xf>
    <xf numFmtId="0" fontId="4" fillId="2" borderId="6" xfId="0" applyFont="1" applyFill="1" applyBorder="1" applyAlignment="1">
      <alignment horizontal="left" vertical="center"/>
    </xf>
    <xf numFmtId="2" fontId="4" fillId="0" borderId="6" xfId="0" applyNumberFormat="1" applyFont="1" applyBorder="1" applyAlignment="1">
      <alignment horizontal="left" vertical="center" wrapText="1"/>
    </xf>
    <xf numFmtId="41" fontId="4" fillId="0" borderId="6" xfId="0" applyNumberFormat="1" applyFont="1" applyBorder="1" applyAlignment="1">
      <alignment horizontal="center" vertical="center"/>
    </xf>
    <xf numFmtId="2" fontId="4" fillId="2" borderId="6" xfId="0" applyNumberFormat="1" applyFont="1" applyFill="1" applyBorder="1" applyAlignment="1">
      <alignment horizontal="left" vertical="center" wrapText="1"/>
    </xf>
    <xf numFmtId="43" fontId="4" fillId="0" borderId="6" xfId="1" applyFont="1" applyFill="1" applyBorder="1" applyAlignment="1" applyProtection="1">
      <alignment horizontal="right" vertical="center" wrapText="1"/>
      <protection locked="0"/>
    </xf>
    <xf numFmtId="43" fontId="5" fillId="0" borderId="6" xfId="1" applyFont="1" applyFill="1" applyBorder="1" applyAlignment="1">
      <alignment horizontal="right" vertical="center"/>
    </xf>
    <xf numFmtId="14" fontId="4" fillId="0" borderId="3" xfId="0" applyNumberFormat="1" applyFont="1" applyBorder="1" applyAlignment="1">
      <alignment horizontal="left" vertical="center"/>
    </xf>
    <xf numFmtId="0" fontId="7" fillId="4" borderId="10" xfId="0" applyFont="1" applyFill="1" applyBorder="1" applyAlignment="1"/>
    <xf numFmtId="0" fontId="7" fillId="4" borderId="11" xfId="0" applyFont="1" applyFill="1" applyBorder="1" applyAlignment="1"/>
    <xf numFmtId="0" fontId="7" fillId="4" borderId="12" xfId="0" applyFont="1" applyFill="1" applyBorder="1"/>
    <xf numFmtId="0" fontId="7" fillId="4" borderId="0" xfId="0" applyFont="1" applyFill="1"/>
    <xf numFmtId="0" fontId="7" fillId="4" borderId="13" xfId="0" applyFont="1" applyFill="1" applyBorder="1" applyAlignment="1"/>
    <xf numFmtId="0" fontId="7" fillId="4" borderId="0" xfId="0" applyFont="1" applyFill="1" applyBorder="1" applyAlignment="1"/>
    <xf numFmtId="0" fontId="7" fillId="4" borderId="0" xfId="0" applyFont="1" applyFill="1" applyBorder="1" applyAlignment="1">
      <alignment wrapText="1"/>
    </xf>
    <xf numFmtId="0" fontId="7" fillId="4" borderId="14" xfId="0" applyFont="1" applyFill="1" applyBorder="1" applyAlignment="1"/>
    <xf numFmtId="0" fontId="9" fillId="4" borderId="18" xfId="0" applyFont="1" applyFill="1" applyBorder="1" applyAlignment="1">
      <alignment vertical="center"/>
    </xf>
    <xf numFmtId="166" fontId="9" fillId="4" borderId="16" xfId="0" applyNumberFormat="1" applyFont="1" applyFill="1" applyBorder="1" applyAlignment="1">
      <alignment vertical="center"/>
    </xf>
    <xf numFmtId="0" fontId="9" fillId="4" borderId="16" xfId="0" applyFont="1" applyFill="1" applyBorder="1" applyAlignment="1">
      <alignment vertical="center"/>
    </xf>
    <xf numFmtId="0" fontId="9" fillId="4" borderId="17" xfId="0" applyFont="1" applyFill="1" applyBorder="1" applyAlignment="1">
      <alignment vertical="center"/>
    </xf>
    <xf numFmtId="0" fontId="9" fillId="4" borderId="21"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6" xfId="0" applyFont="1" applyFill="1" applyBorder="1" applyAlignment="1">
      <alignment horizontal="center" vertical="center" wrapText="1"/>
    </xf>
    <xf numFmtId="0" fontId="9" fillId="4" borderId="22" xfId="0" applyFont="1" applyFill="1" applyBorder="1" applyAlignment="1">
      <alignment horizontal="center" vertical="center"/>
    </xf>
    <xf numFmtId="49" fontId="10" fillId="4" borderId="6" xfId="0" applyNumberFormat="1" applyFont="1" applyFill="1" applyBorder="1" applyAlignment="1">
      <alignment horizontal="center" vertical="top" wrapText="1"/>
    </xf>
    <xf numFmtId="10" fontId="11" fillId="4" borderId="6" xfId="0" applyNumberFormat="1" applyFont="1" applyFill="1" applyBorder="1" applyAlignment="1">
      <alignment vertical="top" wrapText="1"/>
    </xf>
    <xf numFmtId="10" fontId="12" fillId="0" borderId="6" xfId="0" applyNumberFormat="1" applyFont="1" applyFill="1" applyBorder="1" applyAlignment="1">
      <alignment vertical="top" wrapText="1"/>
    </xf>
    <xf numFmtId="10" fontId="7" fillId="4" borderId="6" xfId="0" applyNumberFormat="1" applyFont="1" applyFill="1" applyBorder="1" applyAlignment="1">
      <alignment vertical="top" wrapText="1"/>
    </xf>
    <xf numFmtId="10" fontId="7" fillId="4" borderId="22" xfId="0" applyNumberFormat="1" applyFont="1" applyFill="1" applyBorder="1" applyAlignment="1">
      <alignment vertical="top" wrapText="1"/>
    </xf>
    <xf numFmtId="4" fontId="10" fillId="4" borderId="6" xfId="0" applyNumberFormat="1" applyFont="1" applyFill="1" applyBorder="1" applyAlignment="1">
      <alignment vertical="top" wrapText="1"/>
    </xf>
    <xf numFmtId="4" fontId="10" fillId="4" borderId="22" xfId="0" applyNumberFormat="1" applyFont="1" applyFill="1" applyBorder="1" applyAlignment="1">
      <alignment vertical="top" wrapText="1"/>
    </xf>
    <xf numFmtId="10" fontId="12" fillId="4" borderId="6" xfId="0" applyNumberFormat="1" applyFont="1" applyFill="1" applyBorder="1" applyAlignment="1">
      <alignment vertical="top" wrapText="1"/>
    </xf>
    <xf numFmtId="10" fontId="12" fillId="4" borderId="22" xfId="0" applyNumberFormat="1" applyFont="1" applyFill="1" applyBorder="1" applyAlignment="1">
      <alignment vertical="top" wrapText="1"/>
    </xf>
    <xf numFmtId="49" fontId="13" fillId="4" borderId="6" xfId="0" applyNumberFormat="1" applyFont="1" applyFill="1" applyBorder="1" applyAlignment="1">
      <alignment horizontal="center" vertical="top" wrapText="1"/>
    </xf>
    <xf numFmtId="10" fontId="7" fillId="4" borderId="0" xfId="0" applyNumberFormat="1" applyFont="1" applyFill="1"/>
    <xf numFmtId="166" fontId="13" fillId="4" borderId="6" xfId="0" applyNumberFormat="1" applyFont="1" applyFill="1" applyBorder="1" applyAlignment="1">
      <alignment vertical="top" wrapText="1"/>
    </xf>
    <xf numFmtId="166" fontId="7" fillId="4" borderId="0" xfId="0" applyNumberFormat="1" applyFont="1" applyFill="1"/>
    <xf numFmtId="0" fontId="7" fillId="4" borderId="13" xfId="0" applyFont="1" applyFill="1" applyBorder="1" applyAlignment="1">
      <alignment vertical="center"/>
    </xf>
    <xf numFmtId="0" fontId="7" fillId="4" borderId="0" xfId="0" applyFont="1" applyFill="1" applyBorder="1" applyAlignment="1">
      <alignment vertical="center"/>
    </xf>
    <xf numFmtId="0" fontId="7" fillId="4" borderId="0" xfId="0" applyFont="1" applyFill="1" applyBorder="1" applyAlignment="1">
      <alignment vertical="center" wrapText="1"/>
    </xf>
    <xf numFmtId="0" fontId="7" fillId="4" borderId="14" xfId="0" applyFont="1" applyFill="1" applyBorder="1" applyAlignment="1">
      <alignment vertical="center"/>
    </xf>
    <xf numFmtId="0" fontId="9" fillId="4" borderId="24" xfId="0" applyFont="1" applyFill="1" applyBorder="1" applyAlignment="1">
      <alignment wrapText="1"/>
    </xf>
    <xf numFmtId="0" fontId="9" fillId="4" borderId="25" xfId="0" applyFont="1" applyFill="1" applyBorder="1" applyAlignment="1">
      <alignment wrapText="1"/>
    </xf>
    <xf numFmtId="0" fontId="9" fillId="4" borderId="26" xfId="0" applyFont="1" applyFill="1" applyBorder="1" applyAlignment="1">
      <alignment wrapText="1"/>
    </xf>
    <xf numFmtId="0" fontId="7" fillId="4" borderId="27" xfId="0" applyFont="1" applyFill="1" applyBorder="1"/>
    <xf numFmtId="0" fontId="7" fillId="4" borderId="25" xfId="0" applyFont="1" applyFill="1" applyBorder="1"/>
    <xf numFmtId="0" fontId="7" fillId="4" borderId="28" xfId="0" applyFont="1" applyFill="1" applyBorder="1"/>
    <xf numFmtId="0" fontId="9" fillId="4" borderId="13" xfId="0" applyFont="1" applyFill="1" applyBorder="1" applyAlignment="1">
      <alignment wrapText="1"/>
    </xf>
    <xf numFmtId="0" fontId="9" fillId="4" borderId="0" xfId="0" applyFont="1" applyFill="1" applyBorder="1" applyAlignment="1">
      <alignment wrapText="1"/>
    </xf>
    <xf numFmtId="0" fontId="9" fillId="4" borderId="29" xfId="0" applyFont="1" applyFill="1" applyBorder="1" applyAlignment="1">
      <alignment wrapText="1"/>
    </xf>
    <xf numFmtId="0" fontId="7" fillId="4" borderId="9" xfId="0" applyFont="1" applyFill="1" applyBorder="1"/>
    <xf numFmtId="0" fontId="7" fillId="4" borderId="0" xfId="0" applyFont="1" applyFill="1" applyBorder="1"/>
    <xf numFmtId="0" fontId="7" fillId="4" borderId="14" xfId="0" applyFont="1" applyFill="1" applyBorder="1"/>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29" xfId="0" applyFont="1" applyBorder="1" applyAlignment="1">
      <alignment vertical="center"/>
    </xf>
    <xf numFmtId="0" fontId="9" fillId="4" borderId="9" xfId="0" applyFont="1" applyFill="1" applyBorder="1"/>
    <xf numFmtId="0" fontId="9" fillId="4" borderId="13" xfId="0" applyFont="1" applyFill="1" applyBorder="1"/>
    <xf numFmtId="0" fontId="7" fillId="0" borderId="0" xfId="0" applyFont="1" applyBorder="1" applyAlignment="1">
      <alignment vertical="center" wrapText="1"/>
    </xf>
    <xf numFmtId="0" fontId="7" fillId="4" borderId="13" xfId="0" applyFont="1" applyFill="1" applyBorder="1"/>
    <xf numFmtId="0" fontId="14" fillId="0" borderId="0" xfId="0" applyFont="1" applyBorder="1" applyAlignment="1">
      <alignment horizontal="center" vertical="center" wrapText="1"/>
    </xf>
    <xf numFmtId="0" fontId="7" fillId="4" borderId="29" xfId="0" applyFont="1" applyFill="1" applyBorder="1"/>
    <xf numFmtId="0" fontId="14" fillId="4" borderId="0" xfId="0" applyFont="1" applyFill="1" applyBorder="1" applyAlignment="1">
      <alignment horizontal="center" vertical="top"/>
    </xf>
    <xf numFmtId="0" fontId="7" fillId="4" borderId="30" xfId="0" applyFont="1" applyFill="1" applyBorder="1"/>
    <xf numFmtId="0" fontId="7" fillId="4" borderId="31" xfId="0" applyFont="1" applyFill="1" applyBorder="1" applyAlignment="1">
      <alignment wrapText="1"/>
    </xf>
    <xf numFmtId="0" fontId="7" fillId="4" borderId="31" xfId="0" applyFont="1" applyFill="1" applyBorder="1"/>
    <xf numFmtId="0" fontId="7" fillId="4" borderId="32" xfId="0" applyFont="1" applyFill="1" applyBorder="1"/>
    <xf numFmtId="0" fontId="7" fillId="4" borderId="33" xfId="0" applyFont="1" applyFill="1" applyBorder="1"/>
    <xf numFmtId="0" fontId="7" fillId="4" borderId="34" xfId="0" applyFont="1" applyFill="1" applyBorder="1"/>
    <xf numFmtId="0" fontId="7" fillId="4" borderId="0" xfId="0" applyFont="1" applyFill="1" applyAlignment="1">
      <alignment wrapText="1"/>
    </xf>
    <xf numFmtId="0" fontId="5" fillId="0" borderId="2" xfId="0" applyFont="1" applyBorder="1" applyAlignment="1">
      <alignment horizontal="centerContinuous" vertical="center" wrapText="1"/>
    </xf>
    <xf numFmtId="0" fontId="5" fillId="0" borderId="6" xfId="0" applyFont="1" applyBorder="1" applyAlignment="1">
      <alignment horizontal="center" vertical="center" wrapText="1"/>
    </xf>
    <xf numFmtId="2" fontId="5" fillId="2" borderId="6" xfId="0" applyNumberFormat="1" applyFont="1" applyFill="1" applyBorder="1" applyAlignment="1">
      <alignment horizontal="left" vertical="center" wrapText="1"/>
    </xf>
    <xf numFmtId="2" fontId="5" fillId="0" borderId="6" xfId="0" applyNumberFormat="1" applyFont="1" applyBorder="1" applyAlignment="1">
      <alignment horizontal="left" vertical="center" wrapText="1"/>
    </xf>
    <xf numFmtId="0" fontId="9" fillId="0" borderId="0" xfId="4" applyFont="1" applyProtection="1"/>
    <xf numFmtId="0" fontId="15" fillId="0" borderId="0" xfId="4" applyFont="1" applyFill="1" applyBorder="1" applyAlignment="1" applyProtection="1">
      <alignment horizontal="left"/>
    </xf>
    <xf numFmtId="0" fontId="0" fillId="0" borderId="0" xfId="4" applyFont="1" applyProtection="1"/>
    <xf numFmtId="0" fontId="14" fillId="0" borderId="44" xfId="4" applyFont="1" applyBorder="1" applyAlignment="1" applyProtection="1">
      <alignment horizontal="center" vertical="center"/>
    </xf>
    <xf numFmtId="10" fontId="14" fillId="5" borderId="44" xfId="4" applyNumberFormat="1" applyFont="1" applyFill="1" applyBorder="1" applyAlignment="1" applyProtection="1">
      <alignment horizontal="center" vertical="center"/>
      <protection locked="0"/>
    </xf>
    <xf numFmtId="10" fontId="14" fillId="0" borderId="44" xfId="4" applyNumberFormat="1" applyFont="1" applyFill="1" applyBorder="1" applyAlignment="1" applyProtection="1">
      <alignment horizontal="center" vertical="center"/>
    </xf>
    <xf numFmtId="10" fontId="14" fillId="0" borderId="44" xfId="4" applyNumberFormat="1" applyFont="1" applyFill="1" applyBorder="1" applyAlignment="1" applyProtection="1">
      <alignment horizontal="center" vertical="center" wrapText="1"/>
    </xf>
    <xf numFmtId="0" fontId="14" fillId="0" borderId="44" xfId="4" applyFont="1" applyFill="1" applyBorder="1" applyAlignment="1" applyProtection="1">
      <alignment horizontal="center" vertical="center" wrapText="1"/>
    </xf>
    <xf numFmtId="0" fontId="8" fillId="7" borderId="44" xfId="4" applyFont="1" applyFill="1" applyBorder="1" applyAlignment="1" applyProtection="1">
      <alignment horizontal="center" vertical="center" wrapText="1"/>
    </xf>
    <xf numFmtId="10" fontId="8" fillId="7" borderId="44" xfId="4" applyNumberFormat="1" applyFont="1" applyFill="1" applyBorder="1" applyAlignment="1" applyProtection="1">
      <alignment horizontal="center" vertical="center"/>
    </xf>
    <xf numFmtId="0" fontId="17" fillId="0" borderId="0" xfId="4" applyFont="1" applyBorder="1" applyAlignment="1" applyProtection="1">
      <alignment horizontal="right" vertical="center"/>
    </xf>
    <xf numFmtId="0" fontId="0" fillId="0" borderId="0" xfId="4" applyFont="1" applyBorder="1" applyAlignment="1" applyProtection="1">
      <alignment horizontal="center" vertical="center"/>
    </xf>
    <xf numFmtId="0" fontId="0" fillId="0" borderId="0" xfId="4" applyFont="1" applyBorder="1" applyAlignment="1" applyProtection="1">
      <alignment horizontal="center" vertical="top"/>
    </xf>
    <xf numFmtId="0" fontId="19" fillId="0" borderId="0" xfId="0" applyFont="1" applyBorder="1" applyAlignment="1" applyProtection="1">
      <alignment horizontal="right"/>
    </xf>
    <xf numFmtId="0" fontId="19" fillId="0" borderId="0" xfId="0" applyFont="1" applyBorder="1" applyAlignment="1" applyProtection="1">
      <alignment vertical="center"/>
    </xf>
    <xf numFmtId="0" fontId="21" fillId="0" borderId="0" xfId="4" applyFont="1" applyBorder="1" applyAlignment="1" applyProtection="1">
      <alignment horizontal="center" vertical="top"/>
    </xf>
    <xf numFmtId="0" fontId="22" fillId="8" borderId="9" xfId="0" applyFont="1" applyFill="1" applyBorder="1" applyAlignment="1">
      <alignment vertical="center" wrapText="1"/>
    </xf>
    <xf numFmtId="0" fontId="22" fillId="8" borderId="0" xfId="0" applyFont="1" applyFill="1" applyBorder="1" applyAlignment="1">
      <alignment vertical="center" wrapText="1"/>
    </xf>
    <xf numFmtId="0" fontId="24" fillId="0" borderId="0" xfId="4" applyFont="1" applyFill="1" applyBorder="1" applyProtection="1"/>
    <xf numFmtId="0" fontId="24" fillId="0" borderId="0" xfId="0" applyFont="1" applyBorder="1"/>
    <xf numFmtId="0" fontId="24" fillId="0" borderId="0" xfId="4" applyFont="1" applyFill="1" applyBorder="1" applyAlignment="1" applyProtection="1">
      <alignment vertical="center"/>
    </xf>
    <xf numFmtId="0" fontId="23" fillId="0" borderId="45" xfId="4" applyFont="1" applyFill="1" applyBorder="1" applyAlignment="1" applyProtection="1">
      <alignment vertical="center"/>
    </xf>
    <xf numFmtId="0" fontId="23" fillId="0" borderId="45" xfId="4" applyFont="1" applyFill="1" applyBorder="1" applyProtection="1"/>
    <xf numFmtId="0" fontId="24" fillId="0" borderId="45" xfId="4" applyFont="1" applyFill="1" applyBorder="1" applyProtection="1"/>
    <xf numFmtId="0" fontId="23" fillId="0" borderId="0" xfId="4" applyNumberFormat="1" applyFont="1" applyFill="1" applyBorder="1" applyAlignment="1" applyProtection="1">
      <alignment vertical="top"/>
    </xf>
    <xf numFmtId="168" fontId="23" fillId="0" borderId="0" xfId="4" applyNumberFormat="1" applyFont="1" applyFill="1" applyBorder="1" applyAlignment="1" applyProtection="1"/>
    <xf numFmtId="0" fontId="23" fillId="0" borderId="0" xfId="4" applyFont="1" applyFill="1" applyBorder="1" applyProtection="1"/>
    <xf numFmtId="0" fontId="23" fillId="0" borderId="0" xfId="2" applyFont="1" applyFill="1" applyBorder="1" applyAlignment="1" applyProtection="1">
      <alignment horizontal="left" vertical="top"/>
    </xf>
    <xf numFmtId="41" fontId="25" fillId="2" borderId="6" xfId="0" applyNumberFormat="1" applyFont="1" applyFill="1" applyBorder="1" applyAlignment="1">
      <alignment horizontal="center" vertical="center"/>
    </xf>
    <xf numFmtId="0" fontId="26" fillId="8" borderId="9" xfId="0" applyFont="1" applyFill="1" applyBorder="1" applyAlignment="1">
      <alignment vertical="center" wrapText="1"/>
    </xf>
    <xf numFmtId="0" fontId="26" fillId="8" borderId="0" xfId="0" applyFont="1" applyFill="1" applyBorder="1" applyAlignment="1">
      <alignment vertical="center" wrapText="1"/>
    </xf>
    <xf numFmtId="0" fontId="26" fillId="0" borderId="0" xfId="0" applyFont="1" applyFill="1" applyBorder="1" applyAlignment="1">
      <alignment vertical="center" wrapText="1"/>
    </xf>
    <xf numFmtId="0" fontId="27" fillId="0" borderId="0" xfId="0" applyFont="1"/>
    <xf numFmtId="0" fontId="25" fillId="0" borderId="2" xfId="0" applyFont="1" applyBorder="1" applyAlignment="1">
      <alignment horizontal="left" vertical="center"/>
    </xf>
    <xf numFmtId="41" fontId="25" fillId="0" borderId="4" xfId="0" applyNumberFormat="1" applyFont="1" applyBorder="1" applyAlignment="1">
      <alignment horizontal="center" vertical="center"/>
    </xf>
    <xf numFmtId="0" fontId="25" fillId="0" borderId="4" xfId="0" applyFont="1" applyBorder="1" applyAlignment="1">
      <alignment horizontal="center" vertical="center"/>
    </xf>
    <xf numFmtId="0" fontId="25" fillId="0" borderId="3" xfId="0" applyFont="1" applyBorder="1" applyAlignment="1">
      <alignment horizontal="left" vertical="center"/>
    </xf>
    <xf numFmtId="0" fontId="25" fillId="0" borderId="3" xfId="0" applyFont="1" applyBorder="1" applyAlignment="1">
      <alignment horizontal="right" vertical="center"/>
    </xf>
    <xf numFmtId="10" fontId="29" fillId="0" borderId="5" xfId="0" applyNumberFormat="1" applyFont="1" applyBorder="1" applyAlignment="1">
      <alignment horizontal="center" vertical="center"/>
    </xf>
    <xf numFmtId="17" fontId="29" fillId="0" borderId="3" xfId="0" applyNumberFormat="1" applyFont="1" applyBorder="1" applyAlignment="1">
      <alignment vertical="center"/>
    </xf>
    <xf numFmtId="41" fontId="25" fillId="0" borderId="3" xfId="0" applyNumberFormat="1"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right" vertical="center"/>
    </xf>
    <xf numFmtId="10" fontId="29" fillId="0" borderId="6" xfId="0" applyNumberFormat="1" applyFont="1" applyBorder="1" applyAlignment="1">
      <alignment horizontal="center" vertical="center"/>
    </xf>
    <xf numFmtId="0" fontId="25" fillId="0" borderId="2" xfId="0" applyFont="1" applyBorder="1" applyAlignment="1">
      <alignment horizontal="centerContinuous" vertical="center" wrapText="1"/>
    </xf>
    <xf numFmtId="0" fontId="25" fillId="0" borderId="5" xfId="0" applyFont="1" applyBorder="1" applyAlignment="1">
      <alignment horizontal="centerContinuous" vertical="center" wrapText="1"/>
    </xf>
    <xf numFmtId="0" fontId="25" fillId="0" borderId="6" xfId="0" applyFont="1" applyBorder="1" applyAlignment="1">
      <alignment horizontal="center" vertical="center" wrapText="1"/>
    </xf>
    <xf numFmtId="41" fontId="25" fillId="0" borderId="7" xfId="0" applyNumberFormat="1" applyFont="1" applyBorder="1" applyAlignment="1">
      <alignment horizontal="center" vertical="center"/>
    </xf>
    <xf numFmtId="0" fontId="25" fillId="0" borderId="7" xfId="0" applyFont="1" applyBorder="1" applyAlignment="1">
      <alignment horizontal="center" vertical="center" wrapText="1"/>
    </xf>
    <xf numFmtId="0" fontId="29" fillId="0" borderId="8" xfId="0" applyFont="1" applyBorder="1" applyAlignment="1">
      <alignment horizontal="left" vertical="center" wrapText="1"/>
    </xf>
    <xf numFmtId="0" fontId="29" fillId="0" borderId="3" xfId="0" applyFont="1" applyBorder="1" applyAlignment="1">
      <alignment horizontal="left" vertical="center" wrapText="1"/>
    </xf>
    <xf numFmtId="0" fontId="29" fillId="0" borderId="3" xfId="0" applyFont="1" applyBorder="1" applyAlignment="1">
      <alignment horizontal="left" vertical="center"/>
    </xf>
    <xf numFmtId="41" fontId="29" fillId="0" borderId="3" xfId="0" applyNumberFormat="1" applyFont="1" applyBorder="1" applyAlignment="1">
      <alignment horizontal="left" vertical="center"/>
    </xf>
    <xf numFmtId="164" fontId="30" fillId="0" borderId="3" xfId="0" applyNumberFormat="1" applyFont="1" applyBorder="1" applyAlignment="1">
      <alignment horizontal="right" vertical="center" wrapText="1"/>
    </xf>
    <xf numFmtId="0" fontId="29" fillId="0" borderId="3" xfId="0" applyFont="1" applyBorder="1" applyAlignment="1">
      <alignment horizontal="right" vertical="center" wrapText="1"/>
    </xf>
    <xf numFmtId="43" fontId="29" fillId="0" borderId="5" xfId="0" applyNumberFormat="1" applyFont="1" applyBorder="1" applyAlignment="1">
      <alignment horizontal="right" vertical="center"/>
    </xf>
    <xf numFmtId="0" fontId="25" fillId="0" borderId="6" xfId="0" applyFont="1" applyBorder="1" applyAlignment="1">
      <alignment horizontal="left" vertical="center"/>
    </xf>
    <xf numFmtId="49" fontId="25" fillId="2" borderId="6" xfId="0" applyNumberFormat="1" applyFont="1" applyFill="1" applyBorder="1" applyAlignment="1">
      <alignment horizontal="center" vertical="center" wrapText="1"/>
    </xf>
    <xf numFmtId="165" fontId="29" fillId="2" borderId="6" xfId="0" applyNumberFormat="1" applyFont="1" applyFill="1" applyBorder="1" applyAlignment="1">
      <alignment horizontal="left" vertical="center" wrapText="1"/>
    </xf>
    <xf numFmtId="43" fontId="25" fillId="2" borderId="6" xfId="1" applyFont="1" applyFill="1" applyBorder="1" applyAlignment="1" applyProtection="1">
      <alignment horizontal="right" vertical="center"/>
    </xf>
    <xf numFmtId="43" fontId="25" fillId="2" borderId="6" xfId="1" applyFont="1" applyFill="1" applyBorder="1" applyAlignment="1" applyProtection="1">
      <alignment horizontal="right" vertical="center" wrapText="1"/>
    </xf>
    <xf numFmtId="43" fontId="25" fillId="0" borderId="6" xfId="1" applyFont="1" applyFill="1" applyBorder="1" applyAlignment="1" applyProtection="1">
      <alignment horizontal="right" vertical="center"/>
    </xf>
    <xf numFmtId="43" fontId="29" fillId="0" borderId="6" xfId="1" applyFont="1" applyBorder="1" applyAlignment="1">
      <alignment horizontal="right" vertical="center"/>
    </xf>
    <xf numFmtId="0" fontId="29" fillId="0" borderId="6" xfId="0" applyFont="1" applyBorder="1" applyAlignment="1">
      <alignment horizontal="left" vertical="center"/>
    </xf>
    <xf numFmtId="49" fontId="25" fillId="2" borderId="6" xfId="0" quotePrefix="1" applyNumberFormat="1" applyFont="1" applyFill="1" applyBorder="1" applyAlignment="1" applyProtection="1">
      <alignment horizontal="center" vertical="center" wrapText="1"/>
      <protection locked="0"/>
    </xf>
    <xf numFmtId="165" fontId="29" fillId="3" borderId="6" xfId="0" applyNumberFormat="1" applyFont="1" applyFill="1" applyBorder="1" applyAlignment="1">
      <alignment horizontal="left" vertical="center" wrapText="1"/>
    </xf>
    <xf numFmtId="43" fontId="25" fillId="2" borderId="6" xfId="1" applyFont="1" applyFill="1" applyBorder="1" applyAlignment="1" applyProtection="1">
      <alignment horizontal="right" vertical="center" wrapText="1"/>
      <protection locked="0"/>
    </xf>
    <xf numFmtId="0" fontId="25" fillId="2" borderId="6" xfId="0" applyFont="1" applyFill="1" applyBorder="1" applyAlignment="1">
      <alignment horizontal="left" vertical="center"/>
    </xf>
    <xf numFmtId="0" fontId="25" fillId="0" borderId="6" xfId="0" applyFont="1" applyBorder="1" applyAlignment="1">
      <alignment horizontal="center" vertical="center"/>
    </xf>
    <xf numFmtId="2" fontId="25" fillId="0" borderId="6" xfId="0" applyNumberFormat="1" applyFont="1" applyBorder="1" applyAlignment="1">
      <alignment horizontal="left" vertical="center" wrapText="1"/>
    </xf>
    <xf numFmtId="41" fontId="25" fillId="0" borderId="6" xfId="0" applyNumberFormat="1" applyFont="1" applyBorder="1" applyAlignment="1">
      <alignment horizontal="center" vertical="center"/>
    </xf>
    <xf numFmtId="43" fontId="25" fillId="0" borderId="6" xfId="1" applyFont="1" applyBorder="1" applyAlignment="1">
      <alignment horizontal="right" vertical="center"/>
    </xf>
    <xf numFmtId="43" fontId="25" fillId="0" borderId="9" xfId="1" applyFont="1" applyBorder="1" applyAlignment="1">
      <alignment horizontal="right" vertical="center"/>
    </xf>
    <xf numFmtId="43" fontId="25" fillId="0" borderId="0" xfId="1" applyFont="1" applyFill="1" applyBorder="1" applyAlignment="1">
      <alignment horizontal="right" vertical="center"/>
    </xf>
    <xf numFmtId="0" fontId="25" fillId="2" borderId="0" xfId="0" applyFont="1" applyFill="1" applyAlignment="1">
      <alignment horizontal="center" vertical="center" wrapText="1"/>
    </xf>
    <xf numFmtId="49" fontId="25" fillId="2" borderId="6" xfId="0" applyNumberFormat="1" applyFont="1" applyFill="1" applyBorder="1" applyAlignment="1" applyProtection="1">
      <alignment horizontal="center" vertical="center" wrapText="1"/>
      <protection locked="0"/>
    </xf>
    <xf numFmtId="2" fontId="29" fillId="3" borderId="6" xfId="0" applyNumberFormat="1" applyFont="1" applyFill="1" applyBorder="1" applyAlignment="1">
      <alignment horizontal="left" vertical="center" wrapText="1"/>
    </xf>
    <xf numFmtId="2" fontId="25" fillId="2" borderId="6" xfId="0" applyNumberFormat="1" applyFont="1" applyFill="1" applyBorder="1" applyAlignment="1">
      <alignment horizontal="left" vertical="center" wrapText="1"/>
    </xf>
    <xf numFmtId="0" fontId="27" fillId="0" borderId="0" xfId="0" applyFont="1" applyAlignment="1">
      <alignment horizontal="right" vertical="center"/>
    </xf>
    <xf numFmtId="0" fontId="27" fillId="0" borderId="0" xfId="0" applyFont="1" applyAlignment="1">
      <alignment horizontal="center"/>
    </xf>
    <xf numFmtId="43" fontId="27" fillId="0" borderId="0" xfId="0" applyNumberFormat="1" applyFont="1"/>
    <xf numFmtId="0" fontId="25" fillId="2" borderId="6" xfId="0" applyFont="1" applyFill="1" applyBorder="1" applyAlignment="1" applyProtection="1">
      <alignment horizontal="center" vertical="center" wrapText="1"/>
      <protection locked="0"/>
    </xf>
    <xf numFmtId="0" fontId="27" fillId="2" borderId="0" xfId="0" applyFont="1" applyFill="1"/>
    <xf numFmtId="49" fontId="25" fillId="0" borderId="6" xfId="0" applyNumberFormat="1" applyFont="1" applyBorder="1" applyAlignment="1" applyProtection="1">
      <alignment horizontal="center" vertical="center" wrapText="1"/>
      <protection locked="0"/>
    </xf>
    <xf numFmtId="43" fontId="25" fillId="0" borderId="6" xfId="1" applyFont="1" applyFill="1" applyBorder="1" applyAlignment="1" applyProtection="1">
      <alignment horizontal="right" vertical="center" wrapText="1"/>
      <protection locked="0"/>
    </xf>
    <xf numFmtId="43" fontId="29" fillId="0" borderId="6" xfId="1" applyFont="1" applyFill="1" applyBorder="1" applyAlignment="1">
      <alignment horizontal="right" vertical="center"/>
    </xf>
    <xf numFmtId="0" fontId="24" fillId="0" borderId="0" xfId="0" applyFont="1" applyFill="1"/>
    <xf numFmtId="0" fontId="24" fillId="0" borderId="45" xfId="0" applyFont="1" applyFill="1" applyBorder="1" applyAlignment="1">
      <alignment horizontal="center"/>
    </xf>
    <xf numFmtId="0" fontId="24" fillId="0" borderId="0" xfId="0" applyFont="1" applyFill="1" applyAlignment="1">
      <alignment horizontal="center"/>
    </xf>
    <xf numFmtId="0" fontId="27" fillId="0" borderId="6" xfId="0" applyFont="1" applyBorder="1"/>
    <xf numFmtId="0" fontId="27" fillId="0" borderId="6" xfId="0" applyFont="1" applyBorder="1" applyAlignment="1">
      <alignment wrapText="1"/>
    </xf>
    <xf numFmtId="43" fontId="27" fillId="0" borderId="6" xfId="5" applyFont="1" applyBorder="1" applyAlignment="1"/>
    <xf numFmtId="0" fontId="27" fillId="0" borderId="6" xfId="0" applyFont="1" applyBorder="1" applyAlignment="1"/>
    <xf numFmtId="43" fontId="25" fillId="0" borderId="6" xfId="1" applyFont="1" applyFill="1" applyBorder="1" applyAlignment="1" applyProtection="1">
      <alignment horizontal="right"/>
    </xf>
    <xf numFmtId="43" fontId="25" fillId="0" borderId="6" xfId="1" applyFont="1" applyBorder="1" applyAlignment="1">
      <alignment horizontal="right"/>
    </xf>
    <xf numFmtId="2" fontId="27" fillId="0" borderId="6" xfId="0" applyNumberFormat="1" applyFont="1" applyBorder="1" applyAlignment="1"/>
    <xf numFmtId="0" fontId="27" fillId="0" borderId="6" xfId="0" applyFont="1" applyBorder="1" applyAlignment="1">
      <alignment horizontal="center"/>
    </xf>
    <xf numFmtId="43" fontId="25" fillId="0" borderId="0" xfId="1" applyFont="1" applyBorder="1" applyAlignment="1">
      <alignment horizontal="right" vertical="center"/>
    </xf>
    <xf numFmtId="0" fontId="27" fillId="0" borderId="0" xfId="0" applyFont="1" applyBorder="1" applyAlignment="1">
      <alignment wrapText="1"/>
    </xf>
    <xf numFmtId="43" fontId="25" fillId="0" borderId="0" xfId="1" applyFont="1" applyFill="1" applyBorder="1" applyAlignment="1" applyProtection="1">
      <alignment horizontal="right"/>
    </xf>
    <xf numFmtId="43" fontId="25" fillId="0" borderId="0" xfId="1" applyFont="1" applyBorder="1" applyAlignment="1">
      <alignment horizontal="right"/>
    </xf>
    <xf numFmtId="0" fontId="28" fillId="0" borderId="6" xfId="0" applyFont="1" applyBorder="1" applyAlignment="1">
      <alignment wrapText="1"/>
    </xf>
    <xf numFmtId="0" fontId="27" fillId="0" borderId="0" xfId="0" applyFont="1" applyAlignment="1">
      <alignment horizontal="center"/>
    </xf>
    <xf numFmtId="17" fontId="29" fillId="0" borderId="3" xfId="0" applyNumberFormat="1" applyFont="1" applyBorder="1" applyAlignment="1">
      <alignment horizontal="center" vertical="center"/>
    </xf>
    <xf numFmtId="0" fontId="29" fillId="3" borderId="6" xfId="0" applyFont="1" applyFill="1" applyBorder="1" applyAlignment="1">
      <alignment horizontal="left" vertical="center"/>
    </xf>
    <xf numFmtId="49" fontId="25" fillId="3" borderId="6" xfId="0" quotePrefix="1" applyNumberFormat="1" applyFont="1" applyFill="1" applyBorder="1" applyAlignment="1" applyProtection="1">
      <alignment horizontal="center" vertical="center" wrapText="1"/>
      <protection locked="0"/>
    </xf>
    <xf numFmtId="41" fontId="25" fillId="3" borderId="6" xfId="0" applyNumberFormat="1" applyFont="1" applyFill="1" applyBorder="1" applyAlignment="1">
      <alignment horizontal="center" vertical="center"/>
    </xf>
    <xf numFmtId="43" fontId="25" fillId="3" borderId="6" xfId="1" applyFont="1" applyFill="1" applyBorder="1" applyAlignment="1" applyProtection="1">
      <alignment horizontal="right" vertical="center"/>
    </xf>
    <xf numFmtId="43" fontId="25" fillId="3" borderId="6" xfId="1" applyFont="1" applyFill="1" applyBorder="1" applyAlignment="1" applyProtection="1">
      <alignment horizontal="right" vertical="center" wrapText="1"/>
      <protection locked="0"/>
    </xf>
    <xf numFmtId="43" fontId="29" fillId="3" borderId="6" xfId="1" applyFont="1" applyFill="1" applyBorder="1" applyAlignment="1">
      <alignment horizontal="right" vertical="center"/>
    </xf>
    <xf numFmtId="0" fontId="27" fillId="3" borderId="2" xfId="0" applyFont="1" applyFill="1" applyBorder="1"/>
    <xf numFmtId="0" fontId="27" fillId="3" borderId="3" xfId="0" applyFont="1" applyFill="1" applyBorder="1"/>
    <xf numFmtId="0" fontId="28" fillId="3" borderId="3" xfId="0" applyFont="1" applyFill="1" applyBorder="1"/>
    <xf numFmtId="43" fontId="28" fillId="3" borderId="5" xfId="0" applyNumberFormat="1" applyFont="1" applyFill="1" applyBorder="1"/>
    <xf numFmtId="0" fontId="27" fillId="0" borderId="0" xfId="0" applyFont="1" applyAlignment="1">
      <alignment horizontal="center"/>
    </xf>
    <xf numFmtId="0" fontId="27" fillId="0" borderId="0" xfId="0" applyFont="1" applyAlignment="1"/>
    <xf numFmtId="0" fontId="25" fillId="2" borderId="0" xfId="0" applyFont="1" applyFill="1" applyBorder="1" applyAlignment="1">
      <alignment horizontal="left" vertical="center"/>
    </xf>
    <xf numFmtId="41" fontId="25" fillId="2" borderId="0" xfId="0" applyNumberFormat="1" applyFont="1" applyFill="1" applyBorder="1" applyAlignment="1">
      <alignment horizontal="center" vertical="center"/>
    </xf>
    <xf numFmtId="43" fontId="25" fillId="0" borderId="0" xfId="1" applyFont="1" applyFill="1" applyBorder="1" applyAlignment="1" applyProtection="1">
      <alignment horizontal="right" vertical="center"/>
    </xf>
    <xf numFmtId="43" fontId="25" fillId="2" borderId="0" xfId="1" applyFont="1" applyFill="1" applyBorder="1" applyAlignment="1" applyProtection="1">
      <alignment horizontal="right" vertical="center" wrapText="1"/>
      <protection locked="0"/>
    </xf>
    <xf numFmtId="43" fontId="27" fillId="0" borderId="6" xfId="5" applyFont="1" applyBorder="1" applyAlignment="1">
      <alignment vertical="center"/>
    </xf>
    <xf numFmtId="0" fontId="27" fillId="0" borderId="6" xfId="0" applyFont="1" applyBorder="1" applyAlignment="1">
      <alignment vertical="center"/>
    </xf>
    <xf numFmtId="49" fontId="25" fillId="2" borderId="0" xfId="0" applyNumberFormat="1" applyFont="1" applyFill="1" applyBorder="1" applyAlignment="1" applyProtection="1">
      <alignment horizontal="center" vertical="center" wrapText="1"/>
      <protection locked="0"/>
    </xf>
    <xf numFmtId="2" fontId="25" fillId="2" borderId="0" xfId="0" applyNumberFormat="1" applyFont="1" applyFill="1" applyBorder="1" applyAlignment="1">
      <alignment horizontal="left" vertical="center" wrapText="1"/>
    </xf>
    <xf numFmtId="0" fontId="27" fillId="0" borderId="0" xfId="0" applyFont="1" applyAlignment="1">
      <alignment horizontal="center"/>
    </xf>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horizontal="left" vertical="center"/>
    </xf>
    <xf numFmtId="0" fontId="24" fillId="0" borderId="0" xfId="0" applyFont="1" applyAlignment="1">
      <alignment horizontal="left" vertical="center"/>
    </xf>
    <xf numFmtId="0" fontId="32" fillId="0" borderId="6" xfId="6" applyFont="1" applyFill="1" applyBorder="1" applyAlignment="1">
      <alignment horizontal="center" vertical="center" wrapText="1"/>
    </xf>
    <xf numFmtId="0" fontId="32" fillId="0" borderId="6" xfId="6" applyFont="1" applyFill="1" applyBorder="1" applyAlignment="1">
      <alignment horizontal="center" vertical="justify"/>
    </xf>
    <xf numFmtId="0" fontId="25" fillId="0" borderId="45" xfId="0" applyFont="1" applyBorder="1" applyAlignment="1">
      <alignment horizontal="center" vertical="center"/>
    </xf>
    <xf numFmtId="0" fontId="24" fillId="0" borderId="0" xfId="0" applyFont="1" applyBorder="1" applyAlignment="1">
      <alignment horizontal="left" vertical="center"/>
    </xf>
    <xf numFmtId="10" fontId="29" fillId="0" borderId="0" xfId="0" applyNumberFormat="1" applyFont="1" applyBorder="1" applyAlignment="1">
      <alignment horizontal="center" vertical="center"/>
    </xf>
    <xf numFmtId="0" fontId="32" fillId="0" borderId="0" xfId="6" applyFont="1" applyFill="1" applyBorder="1" applyAlignment="1">
      <alignment vertical="justify"/>
    </xf>
    <xf numFmtId="0" fontId="29" fillId="0" borderId="6" xfId="0" applyFont="1" applyBorder="1" applyAlignment="1">
      <alignment horizontal="left" vertical="center" wrapText="1"/>
    </xf>
    <xf numFmtId="41" fontId="29" fillId="0" borderId="6" xfId="0" applyNumberFormat="1" applyFont="1" applyBorder="1" applyAlignment="1">
      <alignment horizontal="left" vertical="center"/>
    </xf>
    <xf numFmtId="164" fontId="30" fillId="0" borderId="6" xfId="0" applyNumberFormat="1" applyFont="1" applyBorder="1" applyAlignment="1">
      <alignment horizontal="right" vertical="center" wrapText="1"/>
    </xf>
    <xf numFmtId="0" fontId="29" fillId="0" borderId="6" xfId="0" applyFont="1" applyBorder="1" applyAlignment="1">
      <alignment horizontal="right" vertical="center" wrapText="1"/>
    </xf>
    <xf numFmtId="43" fontId="29" fillId="0" borderId="6" xfId="0" applyNumberFormat="1" applyFont="1" applyBorder="1" applyAlignment="1">
      <alignment horizontal="right" vertical="center"/>
    </xf>
    <xf numFmtId="0" fontId="32" fillId="0" borderId="0" xfId="6" applyFont="1" applyFill="1" applyBorder="1" applyAlignment="1">
      <alignment vertical="center" wrapText="1"/>
    </xf>
    <xf numFmtId="0" fontId="32" fillId="0" borderId="0" xfId="6" applyFont="1" applyFill="1" applyBorder="1" applyAlignment="1">
      <alignment horizontal="center" vertical="center" wrapText="1"/>
    </xf>
    <xf numFmtId="0" fontId="29" fillId="0" borderId="6" xfId="0" applyFont="1" applyBorder="1" applyAlignment="1">
      <alignment horizontal="center" vertical="center" wrapText="1"/>
    </xf>
    <xf numFmtId="41" fontId="29" fillId="0" borderId="7" xfId="0" applyNumberFormat="1" applyFont="1" applyBorder="1" applyAlignment="1">
      <alignment horizontal="center" vertical="center"/>
    </xf>
    <xf numFmtId="0" fontId="29" fillId="0" borderId="7"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8" fillId="0" borderId="0" xfId="0" applyFont="1" applyAlignment="1">
      <alignment horizontal="center"/>
    </xf>
    <xf numFmtId="0" fontId="32" fillId="0" borderId="7" xfId="6" applyFont="1" applyFill="1" applyBorder="1" applyAlignment="1">
      <alignment horizontal="center" vertical="center" wrapText="1"/>
    </xf>
    <xf numFmtId="0" fontId="32" fillId="0" borderId="0" xfId="6" applyFont="1" applyFill="1" applyBorder="1" applyAlignment="1">
      <alignment horizontal="center" vertical="center" wrapText="1"/>
    </xf>
    <xf numFmtId="0" fontId="27" fillId="0" borderId="0" xfId="0" applyFont="1" applyAlignment="1">
      <alignment horizontal="center"/>
    </xf>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horizontal="left" vertical="center"/>
    </xf>
    <xf numFmtId="0" fontId="24" fillId="0" borderId="0" xfId="0" applyFont="1" applyAlignment="1">
      <alignment horizontal="left" vertical="center"/>
    </xf>
    <xf numFmtId="0" fontId="32" fillId="0" borderId="0" xfId="6" applyFont="1" applyFill="1" applyBorder="1" applyAlignment="1">
      <alignment horizontal="center" vertical="center" wrapText="1"/>
    </xf>
    <xf numFmtId="0" fontId="24" fillId="0" borderId="0" xfId="0" applyFont="1" applyAlignment="1">
      <alignment horizontal="left" vertical="center"/>
    </xf>
    <xf numFmtId="0" fontId="24" fillId="0" borderId="1" xfId="0" applyFont="1" applyBorder="1" applyAlignment="1">
      <alignment horizontal="left" vertical="center"/>
    </xf>
    <xf numFmtId="14" fontId="25" fillId="0" borderId="3" xfId="0" applyNumberFormat="1" applyFont="1" applyBorder="1" applyAlignment="1">
      <alignment horizontal="left" vertical="center"/>
    </xf>
    <xf numFmtId="0" fontId="27" fillId="0" borderId="0" xfId="0" applyFont="1" applyAlignment="1">
      <alignment horizontal="center"/>
    </xf>
    <xf numFmtId="0" fontId="27" fillId="0" borderId="0" xfId="0" applyFont="1" applyAlignment="1">
      <alignment horizontal="center" vertical="center" wrapText="1"/>
    </xf>
    <xf numFmtId="0" fontId="27" fillId="0" borderId="0" xfId="0" applyFont="1" applyAlignment="1">
      <alignment horizontal="center" vertical="center"/>
    </xf>
    <xf numFmtId="0" fontId="32" fillId="0" borderId="0" xfId="6" applyFont="1" applyFill="1" applyBorder="1" applyAlignment="1">
      <alignment horizontal="center" vertical="center" wrapText="1"/>
    </xf>
    <xf numFmtId="0" fontId="28" fillId="0" borderId="0" xfId="0" applyFont="1" applyAlignment="1">
      <alignment horizontal="center" vertical="center"/>
    </xf>
    <xf numFmtId="0" fontId="27" fillId="0" borderId="0" xfId="0" applyFont="1" applyAlignment="1">
      <alignment horizontal="left" vertical="center"/>
    </xf>
    <xf numFmtId="0" fontId="7"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5" xfId="0" applyFont="1" applyFill="1" applyBorder="1" applyAlignment="1">
      <alignment horizontal="left" vertical="center"/>
    </xf>
    <xf numFmtId="0" fontId="9" fillId="4" borderId="16" xfId="0" applyFont="1" applyFill="1" applyBorder="1" applyAlignment="1">
      <alignment horizontal="left" vertical="center"/>
    </xf>
    <xf numFmtId="0" fontId="9" fillId="4" borderId="17" xfId="0" applyFont="1" applyFill="1" applyBorder="1" applyAlignment="1">
      <alignment horizontal="left" vertical="center"/>
    </xf>
    <xf numFmtId="0" fontId="9" fillId="4" borderId="18" xfId="0" applyFont="1" applyFill="1" applyBorder="1" applyAlignment="1">
      <alignment horizontal="left" vertical="center"/>
    </xf>
    <xf numFmtId="0" fontId="9" fillId="4" borderId="41" xfId="0" applyFont="1" applyFill="1" applyBorder="1" applyAlignment="1">
      <alignment horizontal="left" vertical="center"/>
    </xf>
    <xf numFmtId="0" fontId="9" fillId="4" borderId="19"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40" xfId="0" applyFont="1" applyFill="1" applyBorder="1" applyAlignment="1">
      <alignment horizontal="left" vertical="center"/>
    </xf>
    <xf numFmtId="0" fontId="9" fillId="4" borderId="38"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7" fillId="4" borderId="23" xfId="0" applyFont="1" applyFill="1" applyBorder="1" applyAlignment="1">
      <alignment vertical="top" wrapText="1"/>
    </xf>
    <xf numFmtId="0" fontId="7" fillId="4" borderId="7" xfId="0" applyFont="1" applyFill="1" applyBorder="1" applyAlignment="1">
      <alignment vertical="top" wrapText="1"/>
    </xf>
    <xf numFmtId="0" fontId="9" fillId="4" borderId="23" xfId="0" applyFont="1" applyFill="1" applyBorder="1" applyAlignment="1">
      <alignment vertical="center" wrapText="1"/>
    </xf>
    <xf numFmtId="0" fontId="9" fillId="4" borderId="7" xfId="0" applyFont="1" applyFill="1" applyBorder="1" applyAlignment="1">
      <alignment vertical="center" wrapText="1"/>
    </xf>
    <xf numFmtId="0" fontId="7" fillId="4" borderId="23" xfId="0" applyFont="1" applyFill="1" applyBorder="1" applyAlignment="1">
      <alignment horizontal="left" vertical="top" wrapText="1"/>
    </xf>
    <xf numFmtId="0" fontId="7" fillId="4" borderId="7" xfId="0" applyFont="1" applyFill="1" applyBorder="1" applyAlignment="1">
      <alignment horizontal="left" vertical="top" wrapText="1"/>
    </xf>
    <xf numFmtId="2" fontId="9" fillId="4" borderId="23" xfId="0" applyNumberFormat="1" applyFont="1" applyFill="1" applyBorder="1" applyAlignment="1">
      <alignment vertical="center" wrapText="1"/>
    </xf>
    <xf numFmtId="2" fontId="9" fillId="4" borderId="7" xfId="0" applyNumberFormat="1" applyFont="1" applyFill="1" applyBorder="1" applyAlignment="1">
      <alignment vertical="center" wrapText="1"/>
    </xf>
    <xf numFmtId="0" fontId="9" fillId="4" borderId="35"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37" xfId="0" applyFont="1" applyFill="1" applyBorder="1" applyAlignment="1">
      <alignment horizontal="center" vertical="center" wrapText="1"/>
    </xf>
    <xf numFmtId="0" fontId="9" fillId="4" borderId="0" xfId="0" applyFont="1" applyFill="1" applyBorder="1" applyAlignment="1">
      <alignment horizontal="center" wrapText="1"/>
    </xf>
    <xf numFmtId="0" fontId="14" fillId="4" borderId="0" xfId="0" applyFont="1" applyFill="1" applyBorder="1" applyAlignment="1">
      <alignment horizontal="center" wrapText="1"/>
    </xf>
    <xf numFmtId="0" fontId="7" fillId="0" borderId="31" xfId="0" applyFont="1" applyBorder="1" applyAlignment="1">
      <alignment horizontal="center" vertical="center"/>
    </xf>
    <xf numFmtId="41" fontId="4" fillId="2" borderId="2" xfId="0" applyNumberFormat="1" applyFont="1" applyFill="1" applyBorder="1" applyAlignment="1">
      <alignment horizontal="center" vertical="center"/>
    </xf>
    <xf numFmtId="41" fontId="4" fillId="2" borderId="3" xfId="0" applyNumberFormat="1" applyFont="1" applyFill="1" applyBorder="1" applyAlignment="1">
      <alignment horizontal="center" vertical="center"/>
    </xf>
    <xf numFmtId="41" fontId="4" fillId="2" borderId="5"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41" fontId="5" fillId="0" borderId="2" xfId="0" applyNumberFormat="1" applyFont="1" applyBorder="1" applyAlignment="1">
      <alignment horizontal="center" vertical="center"/>
    </xf>
    <xf numFmtId="41" fontId="5" fillId="0" borderId="3" xfId="0" applyNumberFormat="1" applyFont="1" applyBorder="1" applyAlignment="1">
      <alignment horizontal="center" vertical="center"/>
    </xf>
    <xf numFmtId="41" fontId="5" fillId="0" borderId="5" xfId="0" applyNumberFormat="1" applyFont="1" applyBorder="1" applyAlignment="1">
      <alignment horizontal="center" vertical="center"/>
    </xf>
    <xf numFmtId="41" fontId="4" fillId="0" borderId="2" xfId="0" applyNumberFormat="1" applyFont="1" applyBorder="1" applyAlignment="1">
      <alignment horizontal="center" vertical="center"/>
    </xf>
    <xf numFmtId="41" fontId="4" fillId="0" borderId="3" xfId="0" applyNumberFormat="1" applyFont="1" applyBorder="1" applyAlignment="1">
      <alignment horizontal="center" vertical="center"/>
    </xf>
    <xf numFmtId="41" fontId="4" fillId="0" borderId="5" xfId="0" applyNumberFormat="1" applyFon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41" fontId="4" fillId="2" borderId="2" xfId="0" applyNumberFormat="1" applyFont="1" applyFill="1" applyBorder="1" applyAlignment="1">
      <alignment horizontal="center" vertical="center" wrapText="1"/>
    </xf>
    <xf numFmtId="41" fontId="4" fillId="2" borderId="3" xfId="0" applyNumberFormat="1" applyFont="1" applyFill="1" applyBorder="1" applyAlignment="1">
      <alignment horizontal="center" vertical="center" wrapText="1"/>
    </xf>
    <xf numFmtId="41" fontId="4" fillId="2" borderId="5" xfId="0" applyNumberFormat="1" applyFont="1" applyFill="1" applyBorder="1" applyAlignment="1">
      <alignment horizontal="center" vertical="center" wrapText="1"/>
    </xf>
    <xf numFmtId="0" fontId="0" fillId="0" borderId="0" xfId="0" applyAlignment="1">
      <alignment horizontal="center"/>
    </xf>
    <xf numFmtId="0" fontId="15" fillId="0" borderId="44" xfId="4" applyFont="1" applyFill="1" applyBorder="1" applyAlignment="1" applyProtection="1">
      <alignment horizontal="left"/>
    </xf>
    <xf numFmtId="10" fontId="15" fillId="5" borderId="44" xfId="4" applyNumberFormat="1" applyFont="1" applyFill="1" applyBorder="1" applyAlignment="1" applyProtection="1">
      <alignment horizontal="center"/>
      <protection locked="0"/>
    </xf>
    <xf numFmtId="0" fontId="8" fillId="0" borderId="0" xfId="0" applyFont="1" applyAlignment="1">
      <alignment horizontal="center" vertical="center" wrapText="1"/>
    </xf>
    <xf numFmtId="0" fontId="9" fillId="0" borderId="42" xfId="2" applyFont="1" applyBorder="1" applyAlignment="1" applyProtection="1">
      <alignment horizontal="left" vertical="top"/>
    </xf>
    <xf numFmtId="0" fontId="15" fillId="0" borderId="43" xfId="3" applyNumberFormat="1" applyFont="1" applyFill="1" applyBorder="1" applyAlignment="1" applyProtection="1">
      <alignment horizontal="left" wrapText="1"/>
    </xf>
    <xf numFmtId="0" fontId="15" fillId="0" borderId="44" xfId="4" applyFont="1" applyFill="1" applyBorder="1" applyAlignment="1" applyProtection="1">
      <alignment horizontal="left" wrapText="1"/>
    </xf>
    <xf numFmtId="0" fontId="16" fillId="0" borderId="44" xfId="4" applyFont="1" applyBorder="1" applyAlignment="1" applyProtection="1">
      <alignment horizontal="center"/>
    </xf>
    <xf numFmtId="167" fontId="15" fillId="6" borderId="43" xfId="3" applyFont="1" applyFill="1" applyBorder="1" applyAlignment="1" applyProtection="1">
      <alignment horizontal="left"/>
      <protection locked="0"/>
    </xf>
    <xf numFmtId="0" fontId="8" fillId="0" borderId="44" xfId="4" applyFont="1" applyBorder="1" applyAlignment="1" applyProtection="1">
      <alignment horizontal="center" vertical="center"/>
    </xf>
    <xf numFmtId="4" fontId="8" fillId="0" borderId="44" xfId="4" applyNumberFormat="1" applyFont="1" applyFill="1" applyBorder="1" applyAlignment="1" applyProtection="1">
      <alignment horizontal="center" vertical="center" wrapText="1"/>
    </xf>
    <xf numFmtId="0" fontId="9" fillId="0" borderId="44" xfId="4" applyFont="1" applyFill="1" applyBorder="1" applyAlignment="1" applyProtection="1">
      <alignment horizontal="center" vertical="center"/>
    </xf>
    <xf numFmtId="0" fontId="0" fillId="0" borderId="44" xfId="4" applyFont="1" applyBorder="1" applyAlignment="1" applyProtection="1">
      <alignment horizontal="center" vertical="center" wrapText="1"/>
    </xf>
    <xf numFmtId="4" fontId="8" fillId="0" borderId="44" xfId="4" applyNumberFormat="1" applyFont="1" applyFill="1" applyBorder="1" applyAlignment="1" applyProtection="1">
      <alignment horizontal="center" vertical="center"/>
    </xf>
    <xf numFmtId="0" fontId="22" fillId="8" borderId="9" xfId="0" applyFont="1" applyFill="1" applyBorder="1" applyAlignment="1">
      <alignment horizontal="center" vertical="center" wrapText="1"/>
    </xf>
    <xf numFmtId="0" fontId="22" fillId="8" borderId="0" xfId="0" applyFont="1" applyFill="1" applyBorder="1" applyAlignment="1">
      <alignment horizontal="center" vertical="center" wrapText="1"/>
    </xf>
    <xf numFmtId="0" fontId="23" fillId="0" borderId="0" xfId="4" applyFont="1" applyFill="1" applyBorder="1" applyAlignment="1" applyProtection="1">
      <alignment horizontal="left" vertical="center"/>
    </xf>
    <xf numFmtId="49" fontId="0" fillId="5" borderId="44" xfId="4" applyNumberFormat="1" applyFont="1" applyFill="1" applyBorder="1" applyAlignment="1" applyProtection="1">
      <alignment horizontal="left" vertical="top" wrapText="1"/>
      <protection locked="0"/>
    </xf>
    <xf numFmtId="0" fontId="14" fillId="7" borderId="44" xfId="4" applyFont="1" applyFill="1" applyBorder="1" applyAlignment="1" applyProtection="1">
      <alignment horizontal="center" vertical="center" wrapText="1"/>
    </xf>
    <xf numFmtId="0" fontId="18" fillId="0" borderId="0" xfId="4" applyFont="1" applyBorder="1" applyAlignment="1" applyProtection="1">
      <alignment horizontal="left" vertical="center" indent="1"/>
    </xf>
    <xf numFmtId="0" fontId="0" fillId="0" borderId="0" xfId="4" applyFont="1" applyBorder="1" applyAlignment="1" applyProtection="1">
      <alignment horizontal="center" vertical="center"/>
    </xf>
    <xf numFmtId="0" fontId="20" fillId="0" borderId="0" xfId="0" applyFont="1" applyBorder="1" applyAlignment="1" applyProtection="1">
      <alignment horizontal="center"/>
    </xf>
    <xf numFmtId="0" fontId="19" fillId="0" borderId="0" xfId="0" applyFont="1" applyBorder="1" applyAlignment="1" applyProtection="1">
      <alignment horizontal="left" vertical="top"/>
    </xf>
    <xf numFmtId="0" fontId="15" fillId="0" borderId="44" xfId="4" applyFont="1" applyBorder="1" applyAlignment="1" applyProtection="1">
      <alignment horizontal="left" vertical="center" wrapText="1"/>
    </xf>
    <xf numFmtId="0" fontId="27" fillId="3" borderId="0" xfId="0" applyFont="1" applyFill="1"/>
  </cellXfs>
  <cellStyles count="7">
    <cellStyle name="Moeda_Composicao BDI v2.1" xfId="3"/>
    <cellStyle name="Normal" xfId="0" builtinId="0"/>
    <cellStyle name="Normal 2" xfId="4"/>
    <cellStyle name="Normal 3" xfId="6"/>
    <cellStyle name="Normal_FICHA DE VERIFICAÇÃO PRELIMINAR - Plano R" xfId="2"/>
    <cellStyle name="Separador de milhares 2" xfId="1"/>
    <cellStyle name="Vírgula" xfId="5" builtinId="3"/>
  </cellStyles>
  <dxfs count="3">
    <dxf>
      <font>
        <b val="0"/>
        <condense val="0"/>
        <extend val="0"/>
        <color indexed="17"/>
      </font>
      <border>
        <left style="thin">
          <color indexed="8"/>
        </left>
        <right style="thin">
          <color indexed="8"/>
        </right>
        <top style="thin">
          <color indexed="8"/>
        </top>
        <bottom style="thin">
          <color indexed="8"/>
        </bottom>
      </border>
    </dxf>
    <dxf>
      <font>
        <b/>
        <i val="0"/>
        <condense val="0"/>
        <extend val="0"/>
      </font>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298970</xdr:colOff>
      <xdr:row>1</xdr:row>
      <xdr:rowOff>13230</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8775" cy="726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289709</xdr:colOff>
      <xdr:row>1</xdr:row>
      <xdr:rowOff>21167</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6658" cy="7291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289709</xdr:colOff>
      <xdr:row>0</xdr:row>
      <xdr:rowOff>723898</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8775" cy="638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289709</xdr:colOff>
      <xdr:row>0</xdr:row>
      <xdr:rowOff>723898</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8775" cy="638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289709</xdr:colOff>
      <xdr:row>0</xdr:row>
      <xdr:rowOff>723898</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6658" cy="6381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124884</xdr:colOff>
      <xdr:row>0</xdr:row>
      <xdr:rowOff>85724</xdr:rowOff>
    </xdr:from>
    <xdr:to>
      <xdr:col>2</xdr:col>
      <xdr:colOff>251609</xdr:colOff>
      <xdr:row>0</xdr:row>
      <xdr:rowOff>676276</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4"/>
          <a:ext cx="1288775" cy="5905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124884</xdr:colOff>
      <xdr:row>0</xdr:row>
      <xdr:rowOff>85724</xdr:rowOff>
    </xdr:from>
    <xdr:to>
      <xdr:col>2</xdr:col>
      <xdr:colOff>251609</xdr:colOff>
      <xdr:row>0</xdr:row>
      <xdr:rowOff>676276</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4"/>
          <a:ext cx="1288775" cy="5905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124884</xdr:colOff>
      <xdr:row>0</xdr:row>
      <xdr:rowOff>85723</xdr:rowOff>
    </xdr:from>
    <xdr:to>
      <xdr:col>2</xdr:col>
      <xdr:colOff>194459</xdr:colOff>
      <xdr:row>0</xdr:row>
      <xdr:rowOff>753531</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24884" y="85723"/>
          <a:ext cx="1288775" cy="6381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0</xdr:row>
      <xdr:rowOff>85724</xdr:rowOff>
    </xdr:from>
    <xdr:to>
      <xdr:col>1</xdr:col>
      <xdr:colOff>688700</xdr:colOff>
      <xdr:row>1</xdr:row>
      <xdr:rowOff>28574</xdr:rowOff>
    </xdr:to>
    <xdr:pic>
      <xdr:nvPicPr>
        <xdr:cNvPr id="2" name="Imagem 1">
          <a:extLst>
            <a:ext uri="{FF2B5EF4-FFF2-40B4-BE49-F238E27FC236}">
              <a16:creationId xmlns:a16="http://schemas.microsoft.com/office/drawing/2014/main" xmlns="" id="{8E369622-8244-4415-953E-252D6EA53B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34146" r="14878" b="30000"/>
        <a:stretch/>
      </xdr:blipFill>
      <xdr:spPr>
        <a:xfrm>
          <a:off x="114300" y="85724"/>
          <a:ext cx="1288775" cy="666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lito/Desktop/CONCEI&#199;&#195;O%20DOS%20OUROS%202023-2024/1_GARAGEM%20MUNICIPAL%20-%20Funda&#231;&#227;o/PLANILHA%20LICITA&#199;&#195;O%20NOVA%20-%20PISO%20GARAGEM/BDI%20desonerado%20-%20p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Plan5"/>
    </sheetNames>
    <sheetDataSet>
      <sheetData sheetId="0"/>
      <sheetData sheetId="1">
        <row r="22">
          <cell r="F22" t="str">
            <v>José Airton Junho dos Reis</v>
          </cell>
        </row>
        <row r="23">
          <cell r="F23" t="str">
            <v>56.250/D</v>
          </cell>
        </row>
      </sheetData>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8"/>
  <sheetViews>
    <sheetView tabSelected="1" zoomScale="80" zoomScaleNormal="80" workbookViewId="0">
      <selection activeCell="A3" sqref="A3:L3"/>
    </sheetView>
  </sheetViews>
  <sheetFormatPr defaultRowHeight="12.75" x14ac:dyDescent="0.2"/>
  <cols>
    <col min="1" max="1" width="6.5703125" style="120" customWidth="1"/>
    <col min="2" max="2" width="10.28515625" style="120" customWidth="1"/>
    <col min="3" max="3" width="65" style="120" customWidth="1"/>
    <col min="4" max="4" width="6.5703125" style="120" customWidth="1"/>
    <col min="5" max="14" width="12" style="120" customWidth="1"/>
    <col min="15" max="15" width="5.5703125" style="120" customWidth="1"/>
    <col min="16" max="16" width="12.140625" style="120" hidden="1" customWidth="1"/>
    <col min="17" max="17" width="3.140625" style="120" hidden="1" customWidth="1"/>
    <col min="18" max="18" width="10.5703125" style="120" hidden="1" customWidth="1"/>
    <col min="19" max="20" width="13" style="120" customWidth="1"/>
    <col min="21" max="21" width="10.42578125" style="120" customWidth="1"/>
    <col min="22" max="22" width="10.85546875" style="120" customWidth="1"/>
    <col min="23" max="24" width="10.7109375" style="120" customWidth="1"/>
    <col min="25" max="27" width="9.140625" style="120"/>
    <col min="28" max="28" width="11.42578125" style="120" customWidth="1"/>
    <col min="29" max="16384" width="9.140625" style="120"/>
  </cols>
  <sheetData>
    <row r="1" spans="1:30" ht="62.25" customHeight="1" x14ac:dyDescent="0.2">
      <c r="A1" s="117"/>
      <c r="B1" s="118"/>
      <c r="C1" s="118"/>
      <c r="D1" s="118"/>
      <c r="E1" s="118"/>
      <c r="F1" s="118"/>
      <c r="G1" s="118"/>
      <c r="H1" s="118"/>
      <c r="I1" s="118"/>
      <c r="J1" s="118"/>
      <c r="K1" s="118"/>
      <c r="L1" s="118"/>
      <c r="M1" s="118"/>
      <c r="N1" s="118"/>
      <c r="O1" s="119"/>
      <c r="P1" s="119"/>
      <c r="S1" s="119"/>
      <c r="T1" s="119"/>
      <c r="U1" s="118"/>
      <c r="V1" s="118"/>
      <c r="W1" s="119"/>
      <c r="X1" s="119"/>
    </row>
    <row r="2" spans="1:30" ht="39.950000000000003" customHeight="1" x14ac:dyDescent="0.2">
      <c r="A2" s="248" t="s">
        <v>323</v>
      </c>
      <c r="B2" s="249"/>
      <c r="C2" s="249"/>
      <c r="D2" s="249"/>
      <c r="E2" s="249"/>
      <c r="F2" s="249"/>
      <c r="G2" s="249"/>
      <c r="H2" s="249"/>
      <c r="I2" s="249"/>
      <c r="J2" s="249"/>
      <c r="K2" s="249"/>
      <c r="L2" s="249"/>
      <c r="M2" s="239"/>
      <c r="N2" s="239"/>
      <c r="O2" s="228"/>
      <c r="P2" s="250"/>
      <c r="Q2" s="228"/>
      <c r="R2" s="228"/>
      <c r="S2" s="228"/>
      <c r="T2" s="237"/>
      <c r="U2" s="237"/>
      <c r="V2" s="243"/>
      <c r="W2" s="237"/>
      <c r="X2" s="250"/>
      <c r="Y2" s="250"/>
      <c r="Z2" s="250"/>
      <c r="AA2" s="222"/>
      <c r="AB2" s="222"/>
      <c r="AC2" s="222"/>
      <c r="AD2" s="222"/>
    </row>
    <row r="3" spans="1:30" x14ac:dyDescent="0.2">
      <c r="A3" s="251" t="s">
        <v>0</v>
      </c>
      <c r="B3" s="251"/>
      <c r="C3" s="251"/>
      <c r="D3" s="251"/>
      <c r="E3" s="251"/>
      <c r="F3" s="251"/>
      <c r="G3" s="251"/>
      <c r="H3" s="251"/>
      <c r="I3" s="251"/>
      <c r="J3" s="251"/>
      <c r="K3" s="251"/>
      <c r="L3" s="251"/>
      <c r="M3" s="240"/>
      <c r="N3" s="240"/>
      <c r="O3" s="228"/>
      <c r="P3" s="250"/>
      <c r="Q3" s="228"/>
      <c r="R3" s="228"/>
      <c r="S3" s="228"/>
      <c r="T3" s="237"/>
      <c r="U3" s="237"/>
      <c r="V3" s="243"/>
      <c r="W3" s="237"/>
      <c r="X3" s="250"/>
      <c r="Y3" s="250"/>
      <c r="Z3" s="250"/>
      <c r="AA3" s="222"/>
      <c r="AB3" s="222"/>
      <c r="AC3" s="222"/>
      <c r="AD3" s="222"/>
    </row>
    <row r="4" spans="1:30" x14ac:dyDescent="0.2">
      <c r="A4" s="252" t="s">
        <v>1</v>
      </c>
      <c r="B4" s="252"/>
      <c r="C4" s="252"/>
      <c r="D4" s="252"/>
      <c r="E4" s="252"/>
      <c r="F4" s="252"/>
      <c r="G4" s="252"/>
      <c r="H4" s="252"/>
      <c r="I4" s="252"/>
      <c r="J4" s="252"/>
      <c r="K4" s="252"/>
      <c r="L4" s="252"/>
      <c r="M4" s="241"/>
      <c r="N4" s="241"/>
      <c r="O4" s="228"/>
      <c r="P4" s="250"/>
      <c r="Q4" s="228"/>
      <c r="R4" s="228"/>
      <c r="S4" s="228"/>
      <c r="T4" s="237"/>
      <c r="U4" s="237"/>
      <c r="V4" s="243"/>
      <c r="W4" s="237"/>
      <c r="X4" s="237"/>
      <c r="Y4" s="250"/>
      <c r="Z4" s="250"/>
      <c r="AA4" s="222"/>
      <c r="AB4" s="222"/>
      <c r="AC4" s="222"/>
      <c r="AD4" s="222"/>
    </row>
    <row r="5" spans="1:30" ht="12.75" customHeight="1" x14ac:dyDescent="0.2">
      <c r="A5" s="244" t="s">
        <v>324</v>
      </c>
      <c r="B5" s="244"/>
      <c r="C5" s="244"/>
      <c r="D5" s="244"/>
      <c r="E5" s="244"/>
      <c r="F5" s="244"/>
      <c r="G5" s="244"/>
      <c r="H5" s="244"/>
      <c r="I5" s="244"/>
      <c r="J5" s="244"/>
      <c r="K5" s="244"/>
      <c r="L5" s="244"/>
      <c r="M5" s="242"/>
      <c r="N5" s="242"/>
    </row>
    <row r="6" spans="1:30" x14ac:dyDescent="0.2">
      <c r="A6" s="245" t="s">
        <v>213</v>
      </c>
      <c r="B6" s="245"/>
      <c r="C6" s="245"/>
      <c r="D6" s="245"/>
      <c r="E6" s="245"/>
      <c r="F6" s="245"/>
      <c r="G6" s="245"/>
      <c r="H6" s="245"/>
      <c r="I6" s="245"/>
      <c r="J6" s="245"/>
      <c r="K6" s="245"/>
      <c r="L6" s="245"/>
      <c r="M6" s="220"/>
      <c r="N6" s="220"/>
    </row>
    <row r="7" spans="1:30" x14ac:dyDescent="0.2">
      <c r="A7" s="121" t="s">
        <v>2</v>
      </c>
      <c r="B7" s="246">
        <v>46188</v>
      </c>
      <c r="C7" s="246"/>
      <c r="D7" s="122"/>
      <c r="E7" s="123"/>
      <c r="F7" s="219"/>
      <c r="G7" s="123"/>
      <c r="H7" s="219"/>
      <c r="I7" s="219"/>
      <c r="J7" s="124"/>
      <c r="K7" s="125"/>
      <c r="L7" s="126" t="s">
        <v>3</v>
      </c>
      <c r="M7" s="221"/>
      <c r="N7" s="221"/>
      <c r="P7" s="124">
        <v>0.8972</v>
      </c>
      <c r="S7" s="123"/>
      <c r="T7" s="123"/>
      <c r="U7" s="123"/>
      <c r="V7" s="219"/>
      <c r="W7" s="219"/>
      <c r="X7" s="123"/>
    </row>
    <row r="8" spans="1:30" x14ac:dyDescent="0.2">
      <c r="A8" s="121"/>
      <c r="B8" s="127"/>
      <c r="C8" s="191" t="s">
        <v>382</v>
      </c>
      <c r="D8" s="128"/>
      <c r="E8" s="129"/>
      <c r="F8" s="129"/>
      <c r="G8" s="129"/>
      <c r="H8" s="129"/>
      <c r="I8" s="129"/>
      <c r="J8" s="124"/>
      <c r="K8" s="130" t="s">
        <v>4</v>
      </c>
      <c r="L8" s="131">
        <v>0.26440000000000002</v>
      </c>
      <c r="M8" s="221"/>
      <c r="N8" s="221"/>
      <c r="P8" s="124"/>
      <c r="S8" s="129"/>
      <c r="T8" s="129"/>
      <c r="U8" s="129"/>
      <c r="V8" s="129"/>
      <c r="W8" s="129"/>
      <c r="X8" s="129"/>
    </row>
    <row r="9" spans="1:30" s="235" customFormat="1" ht="41.25" customHeight="1" x14ac:dyDescent="0.2">
      <c r="A9" s="233" t="s">
        <v>376</v>
      </c>
      <c r="B9" s="234" t="s">
        <v>377</v>
      </c>
      <c r="C9" s="230" t="s">
        <v>378</v>
      </c>
      <c r="D9" s="231" t="s">
        <v>379</v>
      </c>
      <c r="E9" s="217" t="s">
        <v>364</v>
      </c>
      <c r="F9" s="217" t="s">
        <v>365</v>
      </c>
      <c r="G9" s="217" t="s">
        <v>366</v>
      </c>
      <c r="H9" s="217" t="s">
        <v>367</v>
      </c>
      <c r="I9" s="217" t="s">
        <v>368</v>
      </c>
      <c r="J9" s="230" t="s">
        <v>374</v>
      </c>
      <c r="K9" s="230" t="s">
        <v>375</v>
      </c>
      <c r="L9" s="218" t="s">
        <v>369</v>
      </c>
      <c r="M9" s="218" t="s">
        <v>370</v>
      </c>
      <c r="N9" s="218" t="s">
        <v>371</v>
      </c>
      <c r="P9" s="230" t="s">
        <v>10</v>
      </c>
      <c r="S9" s="232" t="s">
        <v>350</v>
      </c>
      <c r="T9" s="217" t="s">
        <v>372</v>
      </c>
      <c r="U9" s="217" t="s">
        <v>381</v>
      </c>
      <c r="V9" s="217" t="s">
        <v>383</v>
      </c>
      <c r="W9" s="236" t="s">
        <v>373</v>
      </c>
      <c r="X9" s="232" t="s">
        <v>349</v>
      </c>
    </row>
    <row r="10" spans="1:30" x14ac:dyDescent="0.2">
      <c r="A10" s="223"/>
      <c r="B10" s="223"/>
      <c r="C10" s="151" t="s">
        <v>13</v>
      </c>
      <c r="D10" s="224"/>
      <c r="E10" s="225">
        <v>1015112.0900000002</v>
      </c>
      <c r="F10" s="225"/>
      <c r="G10" s="225">
        <v>1015112.0900000002</v>
      </c>
      <c r="H10" s="225"/>
      <c r="I10" s="225"/>
      <c r="J10" s="226"/>
      <c r="K10" s="226"/>
      <c r="L10" s="227">
        <f>SUM(L11:L79)+0.01</f>
        <v>70665.040000000008</v>
      </c>
      <c r="M10" s="227">
        <f t="shared" ref="M10" si="0">SUM(M11:M79)</f>
        <v>158277.36910000001</v>
      </c>
      <c r="N10" s="227">
        <f>SUM(N11:N79)</f>
        <v>16422.63</v>
      </c>
      <c r="P10" s="142"/>
      <c r="S10" s="141">
        <v>1015112.0900000002</v>
      </c>
      <c r="T10" s="141">
        <v>1015112.0900000002</v>
      </c>
      <c r="U10" s="225">
        <v>1015112.0900000002</v>
      </c>
      <c r="V10" s="141"/>
      <c r="W10" s="141"/>
      <c r="X10" s="141">
        <v>1015112.0900000002</v>
      </c>
    </row>
    <row r="11" spans="1:30" ht="15.75" customHeight="1" x14ac:dyDescent="0.2">
      <c r="A11" s="144"/>
      <c r="B11" s="145"/>
      <c r="C11" s="146"/>
      <c r="D11" s="116" t="s">
        <v>3</v>
      </c>
      <c r="E11" s="147"/>
      <c r="F11" s="147"/>
      <c r="G11" s="147"/>
      <c r="H11" s="147"/>
      <c r="I11" s="147"/>
      <c r="J11" s="148"/>
      <c r="K11" s="149"/>
      <c r="L11" s="150"/>
      <c r="M11" s="150"/>
      <c r="N11" s="150"/>
      <c r="P11" s="148"/>
      <c r="S11" s="147"/>
      <c r="T11" s="147"/>
      <c r="U11" s="147"/>
      <c r="V11" s="147"/>
      <c r="W11" s="147"/>
      <c r="X11" s="147"/>
    </row>
    <row r="12" spans="1:30" x14ac:dyDescent="0.2">
      <c r="A12" s="151">
        <v>1</v>
      </c>
      <c r="B12" s="152"/>
      <c r="C12" s="153" t="s">
        <v>14</v>
      </c>
      <c r="D12" s="116" t="s">
        <v>3</v>
      </c>
      <c r="E12" s="147"/>
      <c r="F12" s="147"/>
      <c r="G12" s="147"/>
      <c r="H12" s="147"/>
      <c r="I12" s="147"/>
      <c r="J12" s="154"/>
      <c r="K12" s="149"/>
      <c r="L12" s="150"/>
      <c r="M12" s="150"/>
      <c r="N12" s="150"/>
      <c r="P12" s="154"/>
      <c r="S12" s="147"/>
      <c r="T12" s="147"/>
      <c r="U12" s="147"/>
      <c r="V12" s="147"/>
      <c r="W12" s="147"/>
      <c r="X12" s="147"/>
    </row>
    <row r="13" spans="1:30" ht="77.25" customHeight="1" x14ac:dyDescent="0.2">
      <c r="A13" s="155" t="s">
        <v>15</v>
      </c>
      <c r="B13" s="156" t="s">
        <v>16</v>
      </c>
      <c r="C13" s="157" t="s">
        <v>17</v>
      </c>
      <c r="D13" s="158" t="s">
        <v>18</v>
      </c>
      <c r="E13" s="149">
        <v>1</v>
      </c>
      <c r="F13" s="149">
        <f>W13</f>
        <v>1</v>
      </c>
      <c r="G13" s="149"/>
      <c r="H13" s="149">
        <f>F13+G13</f>
        <v>1</v>
      </c>
      <c r="I13" s="149">
        <f>E13-H13</f>
        <v>0</v>
      </c>
      <c r="J13" s="154">
        <f>P13*$P$7</f>
        <v>1055.3494439999999</v>
      </c>
      <c r="K13" s="149">
        <f>ROUND(J13+(J13*$L$8),2)</f>
        <v>1334.38</v>
      </c>
      <c r="L13" s="159">
        <f>ROUND(K13*G13,2)</f>
        <v>0</v>
      </c>
      <c r="M13" s="159">
        <f>K13*H13</f>
        <v>1334.38</v>
      </c>
      <c r="N13" s="159">
        <f>ROUND(K13*I13,2)</f>
        <v>0</v>
      </c>
      <c r="O13" s="185"/>
      <c r="P13" s="154">
        <v>1176.27</v>
      </c>
      <c r="Q13" s="161"/>
      <c r="R13" s="161"/>
      <c r="S13" s="149">
        <v>1</v>
      </c>
      <c r="T13" s="149"/>
      <c r="U13" s="149"/>
      <c r="V13" s="149"/>
      <c r="W13" s="149">
        <f>SUM(S13:V13)</f>
        <v>1</v>
      </c>
      <c r="X13" s="149">
        <v>1</v>
      </c>
    </row>
    <row r="14" spans="1:30" ht="18.75" customHeight="1" x14ac:dyDescent="0.2">
      <c r="A14" s="151">
        <v>2</v>
      </c>
      <c r="B14" s="163"/>
      <c r="C14" s="164" t="s">
        <v>28</v>
      </c>
      <c r="D14" s="116"/>
      <c r="E14" s="147"/>
      <c r="F14" s="149"/>
      <c r="G14" s="149"/>
      <c r="H14" s="149"/>
      <c r="I14" s="149"/>
      <c r="J14" s="154"/>
      <c r="K14" s="149"/>
      <c r="L14" s="159">
        <f t="shared" ref="L14:L77" si="1">ROUND(K14*G14,2)</f>
        <v>0</v>
      </c>
      <c r="M14" s="159"/>
      <c r="N14" s="159">
        <f t="shared" ref="N14:N77" si="2">ROUND(K14*I14,2)</f>
        <v>0</v>
      </c>
      <c r="P14" s="154"/>
      <c r="S14" s="149"/>
      <c r="T14" s="149"/>
      <c r="U14" s="149"/>
      <c r="V14" s="149"/>
      <c r="W14" s="149">
        <f>SUM(S14:V14)</f>
        <v>0</v>
      </c>
      <c r="X14" s="147"/>
    </row>
    <row r="15" spans="1:30" ht="76.5" customHeight="1" x14ac:dyDescent="0.2">
      <c r="A15" s="144" t="s">
        <v>20</v>
      </c>
      <c r="B15" s="163" t="s">
        <v>29</v>
      </c>
      <c r="C15" s="165" t="s">
        <v>30</v>
      </c>
      <c r="D15" s="116" t="s">
        <v>24</v>
      </c>
      <c r="E15" s="147">
        <v>188.56</v>
      </c>
      <c r="F15" s="149">
        <f>W15</f>
        <v>188.56</v>
      </c>
      <c r="G15" s="149"/>
      <c r="H15" s="149">
        <f t="shared" ref="H15:H78" si="3">F15+G15</f>
        <v>188.56</v>
      </c>
      <c r="I15" s="149">
        <f t="shared" ref="I15:I78" si="4">E15-H15</f>
        <v>0</v>
      </c>
      <c r="J15" s="154">
        <f t="shared" ref="J15:J19" si="5">P15*$P$7</f>
        <v>15.548475999999999</v>
      </c>
      <c r="K15" s="149">
        <f t="shared" ref="K15:K41" si="6">ROUND(J15+(J15*$L$8),2)</f>
        <v>19.66</v>
      </c>
      <c r="L15" s="159">
        <f t="shared" si="1"/>
        <v>0</v>
      </c>
      <c r="M15" s="159">
        <f t="shared" ref="M15:M78" si="7">K15*H15</f>
        <v>3707.0896000000002</v>
      </c>
      <c r="N15" s="159">
        <f t="shared" si="2"/>
        <v>0</v>
      </c>
      <c r="P15" s="166">
        <v>17.329999999999998</v>
      </c>
      <c r="S15" s="149">
        <f>51.04+137.52</f>
        <v>188.56</v>
      </c>
      <c r="T15" s="149"/>
      <c r="U15" s="149"/>
      <c r="V15" s="149"/>
      <c r="W15" s="149">
        <f>SUM(S15:V15)</f>
        <v>188.56</v>
      </c>
      <c r="X15" s="147">
        <v>188.56</v>
      </c>
    </row>
    <row r="16" spans="1:30" ht="50.25" customHeight="1" x14ac:dyDescent="0.2">
      <c r="A16" s="144" t="s">
        <v>21</v>
      </c>
      <c r="B16" s="163" t="s">
        <v>31</v>
      </c>
      <c r="C16" s="165" t="s">
        <v>32</v>
      </c>
      <c r="D16" s="116" t="s">
        <v>24</v>
      </c>
      <c r="E16" s="147">
        <v>188.56</v>
      </c>
      <c r="F16" s="149">
        <f>W16</f>
        <v>188.56</v>
      </c>
      <c r="G16" s="149"/>
      <c r="H16" s="149">
        <f t="shared" si="3"/>
        <v>188.56</v>
      </c>
      <c r="I16" s="149">
        <f t="shared" si="4"/>
        <v>0</v>
      </c>
      <c r="J16" s="154">
        <f t="shared" si="5"/>
        <v>9.2770480000000006</v>
      </c>
      <c r="K16" s="149">
        <f t="shared" si="6"/>
        <v>11.73</v>
      </c>
      <c r="L16" s="159">
        <f t="shared" si="1"/>
        <v>0</v>
      </c>
      <c r="M16" s="159">
        <f t="shared" si="7"/>
        <v>2211.8088000000002</v>
      </c>
      <c r="N16" s="159">
        <f t="shared" si="2"/>
        <v>0</v>
      </c>
      <c r="O16" s="238"/>
      <c r="P16" s="154">
        <v>10.34</v>
      </c>
      <c r="S16" s="149">
        <v>96.99</v>
      </c>
      <c r="T16" s="149">
        <v>91.57</v>
      </c>
      <c r="U16" s="149"/>
      <c r="V16" s="149"/>
      <c r="W16" s="149">
        <f>SUM(S16:V16)</f>
        <v>188.56</v>
      </c>
      <c r="X16" s="147">
        <v>188.56</v>
      </c>
    </row>
    <row r="17" spans="1:25" ht="40.5" customHeight="1" x14ac:dyDescent="0.2">
      <c r="A17" s="144" t="s">
        <v>22</v>
      </c>
      <c r="B17" s="163" t="s">
        <v>33</v>
      </c>
      <c r="C17" s="165" t="s">
        <v>34</v>
      </c>
      <c r="D17" s="116" t="s">
        <v>24</v>
      </c>
      <c r="E17" s="147">
        <f>((1.75+1.8)*2*3.1)+(4.3+3+3+2.45)*2.15+(31.5*1.85)</f>
        <v>107.69750000000001</v>
      </c>
      <c r="F17" s="149">
        <f>W17</f>
        <v>107.69750000000001</v>
      </c>
      <c r="G17" s="149"/>
      <c r="H17" s="149">
        <f t="shared" si="3"/>
        <v>107.69750000000001</v>
      </c>
      <c r="I17" s="149">
        <f t="shared" si="4"/>
        <v>0</v>
      </c>
      <c r="J17" s="154">
        <f t="shared" si="5"/>
        <v>58.811459999999997</v>
      </c>
      <c r="K17" s="149">
        <f t="shared" si="6"/>
        <v>74.36</v>
      </c>
      <c r="L17" s="159">
        <f t="shared" si="1"/>
        <v>0</v>
      </c>
      <c r="M17" s="159">
        <f t="shared" si="7"/>
        <v>8008.3861000000006</v>
      </c>
      <c r="N17" s="159">
        <f t="shared" si="2"/>
        <v>0</v>
      </c>
      <c r="O17" s="238"/>
      <c r="P17" s="154">
        <v>65.55</v>
      </c>
      <c r="S17" s="149">
        <v>4.9800000000000004</v>
      </c>
      <c r="T17" s="149">
        <f>35.6+64.56</f>
        <v>100.16</v>
      </c>
      <c r="U17" s="149">
        <v>2.5575000000000001</v>
      </c>
      <c r="V17" s="149"/>
      <c r="W17" s="149">
        <f t="shared" ref="W17:W19" si="8">SUM(S17:V17)</f>
        <v>107.69750000000001</v>
      </c>
      <c r="X17" s="147">
        <f>((1.75+1.8)*2*3.1)+(4.3+3+3+2.45)*2.15+(31.5*1.85)</f>
        <v>107.69750000000001</v>
      </c>
    </row>
    <row r="18" spans="1:25" ht="51.75" customHeight="1" x14ac:dyDescent="0.2">
      <c r="A18" s="144" t="s">
        <v>23</v>
      </c>
      <c r="B18" s="163" t="s">
        <v>35</v>
      </c>
      <c r="C18" s="165" t="s">
        <v>36</v>
      </c>
      <c r="D18" s="116" t="s">
        <v>19</v>
      </c>
      <c r="E18" s="147">
        <f>((1.75+1.8)*2)+(4.3+3+3+2.45)+60</f>
        <v>79.849999999999994</v>
      </c>
      <c r="F18" s="149">
        <f>W18</f>
        <v>79.850000000000009</v>
      </c>
      <c r="G18" s="149"/>
      <c r="H18" s="149">
        <f t="shared" si="3"/>
        <v>79.850000000000009</v>
      </c>
      <c r="I18" s="149">
        <f t="shared" si="4"/>
        <v>0</v>
      </c>
      <c r="J18" s="154">
        <f t="shared" si="5"/>
        <v>19.280828</v>
      </c>
      <c r="K18" s="149">
        <f t="shared" si="6"/>
        <v>24.38</v>
      </c>
      <c r="L18" s="159">
        <f t="shared" si="1"/>
        <v>0</v>
      </c>
      <c r="M18" s="159">
        <f t="shared" si="7"/>
        <v>1946.7430000000002</v>
      </c>
      <c r="N18" s="159">
        <f t="shared" si="2"/>
        <v>0</v>
      </c>
      <c r="O18" s="238"/>
      <c r="P18" s="154">
        <v>21.49</v>
      </c>
      <c r="S18" s="149"/>
      <c r="T18" s="149">
        <f>9.7+70.15</f>
        <v>79.850000000000009</v>
      </c>
      <c r="U18" s="149"/>
      <c r="V18" s="149"/>
      <c r="W18" s="149">
        <f t="shared" si="8"/>
        <v>79.850000000000009</v>
      </c>
      <c r="X18" s="203">
        <v>79.849999999999994</v>
      </c>
      <c r="Y18" s="203"/>
    </row>
    <row r="19" spans="1:25" ht="42" customHeight="1" x14ac:dyDescent="0.2">
      <c r="A19" s="144" t="s">
        <v>27</v>
      </c>
      <c r="B19" s="163" t="s">
        <v>37</v>
      </c>
      <c r="C19" s="165" t="s">
        <v>38</v>
      </c>
      <c r="D19" s="116" t="s">
        <v>24</v>
      </c>
      <c r="E19" s="147">
        <v>188.56</v>
      </c>
      <c r="F19" s="149">
        <f>W19</f>
        <v>188.56</v>
      </c>
      <c r="G19" s="149"/>
      <c r="H19" s="149">
        <f t="shared" si="3"/>
        <v>188.56</v>
      </c>
      <c r="I19" s="149">
        <f t="shared" si="4"/>
        <v>0</v>
      </c>
      <c r="J19" s="154">
        <f t="shared" si="5"/>
        <v>33.151540000000004</v>
      </c>
      <c r="K19" s="149">
        <f>ROUND(J19+(J19*$L$8),2)</f>
        <v>41.92</v>
      </c>
      <c r="L19" s="159">
        <f t="shared" si="1"/>
        <v>0</v>
      </c>
      <c r="M19" s="159">
        <f t="shared" si="7"/>
        <v>7904.4352000000008</v>
      </c>
      <c r="N19" s="159">
        <f t="shared" si="2"/>
        <v>0</v>
      </c>
      <c r="O19" s="168"/>
      <c r="P19" s="154">
        <v>36.950000000000003</v>
      </c>
      <c r="R19" s="168"/>
      <c r="S19" s="149">
        <v>73.959999999999994</v>
      </c>
      <c r="T19" s="149">
        <v>114.6</v>
      </c>
      <c r="U19" s="149"/>
      <c r="V19" s="149"/>
      <c r="W19" s="149">
        <f t="shared" si="8"/>
        <v>188.56</v>
      </c>
      <c r="X19" s="147">
        <v>188.56</v>
      </c>
      <c r="Y19" s="168"/>
    </row>
    <row r="20" spans="1:25" x14ac:dyDescent="0.2">
      <c r="A20" s="151">
        <v>3</v>
      </c>
      <c r="B20" s="163"/>
      <c r="C20" s="164" t="s">
        <v>40</v>
      </c>
      <c r="D20" s="116" t="s">
        <v>3</v>
      </c>
      <c r="E20" s="147"/>
      <c r="F20" s="149"/>
      <c r="G20" s="149"/>
      <c r="H20" s="149"/>
      <c r="I20" s="149"/>
      <c r="J20" s="154"/>
      <c r="K20" s="149"/>
      <c r="L20" s="159"/>
      <c r="M20" s="159"/>
      <c r="N20" s="159"/>
      <c r="P20" s="154"/>
      <c r="S20" s="149"/>
      <c r="T20" s="149"/>
      <c r="U20" s="149"/>
      <c r="V20" s="149"/>
      <c r="W20" s="149">
        <f>SUM(S20:V20)</f>
        <v>0</v>
      </c>
      <c r="X20" s="147"/>
    </row>
    <row r="21" spans="1:25" ht="61.5" customHeight="1" x14ac:dyDescent="0.2">
      <c r="A21" s="144" t="s">
        <v>41</v>
      </c>
      <c r="B21" s="163" t="s">
        <v>39</v>
      </c>
      <c r="C21" s="165" t="s">
        <v>42</v>
      </c>
      <c r="D21" s="116" t="s">
        <v>25</v>
      </c>
      <c r="E21" s="147">
        <v>216</v>
      </c>
      <c r="F21" s="149">
        <f t="shared" ref="F21:F26" si="9">W21</f>
        <v>216</v>
      </c>
      <c r="G21" s="147"/>
      <c r="H21" s="149">
        <f t="shared" si="3"/>
        <v>216</v>
      </c>
      <c r="I21" s="149">
        <f t="shared" si="4"/>
        <v>0</v>
      </c>
      <c r="J21" s="154">
        <f t="shared" ref="J21:J25" si="10">P21*$P$7</f>
        <v>19.191108</v>
      </c>
      <c r="K21" s="149">
        <f t="shared" si="6"/>
        <v>24.27</v>
      </c>
      <c r="L21" s="159">
        <f t="shared" si="1"/>
        <v>0</v>
      </c>
      <c r="M21" s="159">
        <f t="shared" si="7"/>
        <v>5242.32</v>
      </c>
      <c r="N21" s="159">
        <f t="shared" si="2"/>
        <v>0</v>
      </c>
      <c r="P21" s="154">
        <v>21.39</v>
      </c>
      <c r="Q21" s="168"/>
      <c r="S21" s="149"/>
      <c r="T21" s="149"/>
      <c r="U21" s="147">
        <v>216</v>
      </c>
      <c r="V21" s="147"/>
      <c r="W21" s="149">
        <f>SUM(S21:V21)</f>
        <v>216</v>
      </c>
      <c r="X21" s="147">
        <v>216</v>
      </c>
    </row>
    <row r="22" spans="1:25" ht="63" customHeight="1" x14ac:dyDescent="0.2">
      <c r="A22" s="144" t="s">
        <v>43</v>
      </c>
      <c r="B22" s="163" t="s">
        <v>44</v>
      </c>
      <c r="C22" s="165" t="s">
        <v>45</v>
      </c>
      <c r="D22" s="116" t="s">
        <v>26</v>
      </c>
      <c r="E22" s="147">
        <v>19.600000000000001</v>
      </c>
      <c r="F22" s="149">
        <f t="shared" si="9"/>
        <v>19.600000000000001</v>
      </c>
      <c r="G22" s="147"/>
      <c r="H22" s="149">
        <f t="shared" si="3"/>
        <v>19.600000000000001</v>
      </c>
      <c r="I22" s="149">
        <f t="shared" si="4"/>
        <v>0</v>
      </c>
      <c r="J22" s="154">
        <f t="shared" si="10"/>
        <v>282.600056</v>
      </c>
      <c r="K22" s="149">
        <f t="shared" si="6"/>
        <v>357.32</v>
      </c>
      <c r="L22" s="159">
        <f t="shared" si="1"/>
        <v>0</v>
      </c>
      <c r="M22" s="159">
        <f t="shared" si="7"/>
        <v>7003.4720000000007</v>
      </c>
      <c r="N22" s="159">
        <f t="shared" si="2"/>
        <v>0</v>
      </c>
      <c r="P22" s="154">
        <v>314.98</v>
      </c>
      <c r="S22" s="149"/>
      <c r="T22" s="149"/>
      <c r="U22" s="147">
        <v>19.600000000000001</v>
      </c>
      <c r="V22" s="147"/>
      <c r="W22" s="149">
        <f t="shared" ref="W22:W26" si="11">SUM(S22:V22)</f>
        <v>19.600000000000001</v>
      </c>
      <c r="X22" s="147">
        <v>19.600000000000001</v>
      </c>
      <c r="Y22" s="168"/>
    </row>
    <row r="23" spans="1:25" ht="48.75" customHeight="1" x14ac:dyDescent="0.2">
      <c r="A23" s="144" t="s">
        <v>50</v>
      </c>
      <c r="B23" s="163" t="s">
        <v>46</v>
      </c>
      <c r="C23" s="165" t="s">
        <v>47</v>
      </c>
      <c r="D23" s="116" t="s">
        <v>24</v>
      </c>
      <c r="E23" s="147">
        <v>19.600000000000001</v>
      </c>
      <c r="F23" s="149">
        <f t="shared" si="9"/>
        <v>19.600000000000001</v>
      </c>
      <c r="G23" s="147"/>
      <c r="H23" s="149">
        <f t="shared" si="3"/>
        <v>19.600000000000001</v>
      </c>
      <c r="I23" s="149">
        <f t="shared" si="4"/>
        <v>0</v>
      </c>
      <c r="J23" s="154">
        <f t="shared" si="10"/>
        <v>96.359279999999998</v>
      </c>
      <c r="K23" s="149">
        <f t="shared" si="6"/>
        <v>121.84</v>
      </c>
      <c r="L23" s="159">
        <f t="shared" si="1"/>
        <v>0</v>
      </c>
      <c r="M23" s="159">
        <f t="shared" si="7"/>
        <v>2388.0640000000003</v>
      </c>
      <c r="N23" s="159">
        <f t="shared" si="2"/>
        <v>0</v>
      </c>
      <c r="P23" s="154">
        <v>107.4</v>
      </c>
      <c r="S23" s="149"/>
      <c r="T23" s="149"/>
      <c r="U23" s="147">
        <v>19.600000000000001</v>
      </c>
      <c r="V23" s="147"/>
      <c r="W23" s="149">
        <f t="shared" si="11"/>
        <v>19.600000000000001</v>
      </c>
      <c r="X23" s="147">
        <v>19.600000000000001</v>
      </c>
      <c r="Y23" s="168"/>
    </row>
    <row r="24" spans="1:25" ht="42.75" customHeight="1" x14ac:dyDescent="0.2">
      <c r="A24" s="144" t="s">
        <v>53</v>
      </c>
      <c r="B24" s="163" t="s">
        <v>48</v>
      </c>
      <c r="C24" s="165" t="s">
        <v>49</v>
      </c>
      <c r="D24" s="116" t="s">
        <v>19</v>
      </c>
      <c r="E24" s="147">
        <v>5.75</v>
      </c>
      <c r="F24" s="149">
        <f t="shared" si="9"/>
        <v>5.75</v>
      </c>
      <c r="G24" s="147"/>
      <c r="H24" s="149">
        <f t="shared" si="3"/>
        <v>5.75</v>
      </c>
      <c r="I24" s="149">
        <f t="shared" si="4"/>
        <v>0</v>
      </c>
      <c r="J24" s="154">
        <f t="shared" si="10"/>
        <v>42.285036000000005</v>
      </c>
      <c r="K24" s="149">
        <f t="shared" si="6"/>
        <v>53.47</v>
      </c>
      <c r="L24" s="159">
        <f t="shared" si="1"/>
        <v>0</v>
      </c>
      <c r="M24" s="159">
        <f t="shared" si="7"/>
        <v>307.45249999999999</v>
      </c>
      <c r="N24" s="159">
        <f t="shared" si="2"/>
        <v>0</v>
      </c>
      <c r="O24" s="168"/>
      <c r="P24" s="154">
        <v>47.13</v>
      </c>
      <c r="S24" s="149"/>
      <c r="T24" s="149"/>
      <c r="U24" s="147">
        <v>5.75</v>
      </c>
      <c r="V24" s="147"/>
      <c r="W24" s="149">
        <f t="shared" si="11"/>
        <v>5.75</v>
      </c>
      <c r="X24" s="147">
        <v>5.75</v>
      </c>
      <c r="Y24" s="168"/>
    </row>
    <row r="25" spans="1:25" ht="39" customHeight="1" x14ac:dyDescent="0.2">
      <c r="A25" s="144" t="s">
        <v>194</v>
      </c>
      <c r="B25" s="163" t="s">
        <v>51</v>
      </c>
      <c r="C25" s="165" t="s">
        <v>52</v>
      </c>
      <c r="D25" s="116" t="s">
        <v>19</v>
      </c>
      <c r="E25" s="147">
        <v>5.75</v>
      </c>
      <c r="F25" s="149">
        <f t="shared" si="9"/>
        <v>5.75</v>
      </c>
      <c r="G25" s="147"/>
      <c r="H25" s="149">
        <f t="shared" si="3"/>
        <v>5.75</v>
      </c>
      <c r="I25" s="149">
        <f t="shared" si="4"/>
        <v>0</v>
      </c>
      <c r="J25" s="154">
        <f t="shared" si="10"/>
        <v>51.624887999999999</v>
      </c>
      <c r="K25" s="149">
        <f t="shared" si="6"/>
        <v>65.27</v>
      </c>
      <c r="L25" s="159">
        <f t="shared" si="1"/>
        <v>0</v>
      </c>
      <c r="M25" s="159">
        <f t="shared" si="7"/>
        <v>375.30249999999995</v>
      </c>
      <c r="N25" s="159">
        <f t="shared" si="2"/>
        <v>0</v>
      </c>
      <c r="P25" s="154">
        <v>57.54</v>
      </c>
      <c r="S25" s="149"/>
      <c r="T25" s="149"/>
      <c r="U25" s="147">
        <v>5.75</v>
      </c>
      <c r="V25" s="147"/>
      <c r="W25" s="149">
        <f t="shared" si="11"/>
        <v>5.75</v>
      </c>
      <c r="X25" s="147">
        <v>5.75</v>
      </c>
    </row>
    <row r="26" spans="1:25" ht="41.25" customHeight="1" x14ac:dyDescent="0.2">
      <c r="A26" s="144" t="s">
        <v>200</v>
      </c>
      <c r="B26" s="163" t="s">
        <v>54</v>
      </c>
      <c r="C26" s="165" t="s">
        <v>55</v>
      </c>
      <c r="D26" s="116" t="s">
        <v>19</v>
      </c>
      <c r="E26" s="147">
        <v>6</v>
      </c>
      <c r="F26" s="149">
        <f t="shared" si="9"/>
        <v>6</v>
      </c>
      <c r="G26" s="147"/>
      <c r="H26" s="149">
        <f t="shared" si="3"/>
        <v>6</v>
      </c>
      <c r="I26" s="149">
        <f t="shared" si="4"/>
        <v>0</v>
      </c>
      <c r="J26" s="154">
        <f>P26*$P$7</f>
        <v>76.899011999999999</v>
      </c>
      <c r="K26" s="149">
        <f t="shared" si="6"/>
        <v>97.23</v>
      </c>
      <c r="L26" s="159">
        <f t="shared" si="1"/>
        <v>0</v>
      </c>
      <c r="M26" s="159">
        <f t="shared" si="7"/>
        <v>583.38</v>
      </c>
      <c r="N26" s="159">
        <f t="shared" si="2"/>
        <v>0</v>
      </c>
      <c r="P26" s="154">
        <v>85.71</v>
      </c>
      <c r="S26" s="149"/>
      <c r="T26" s="149"/>
      <c r="U26" s="147">
        <v>6</v>
      </c>
      <c r="V26" s="147"/>
      <c r="W26" s="149">
        <f t="shared" si="11"/>
        <v>6</v>
      </c>
      <c r="X26" s="147">
        <v>6</v>
      </c>
    </row>
    <row r="27" spans="1:25" x14ac:dyDescent="0.2">
      <c r="A27" s="151">
        <v>4</v>
      </c>
      <c r="B27" s="163"/>
      <c r="C27" s="164" t="s">
        <v>56</v>
      </c>
      <c r="D27" s="116" t="s">
        <v>3</v>
      </c>
      <c r="E27" s="147"/>
      <c r="F27" s="149"/>
      <c r="G27" s="149"/>
      <c r="H27" s="149"/>
      <c r="I27" s="149"/>
      <c r="J27" s="154"/>
      <c r="K27" s="149"/>
      <c r="L27" s="159"/>
      <c r="M27" s="159"/>
      <c r="N27" s="159"/>
      <c r="P27" s="154"/>
      <c r="S27" s="149"/>
      <c r="T27" s="149"/>
      <c r="U27" s="149"/>
      <c r="V27" s="149"/>
      <c r="W27" s="149">
        <f>SUM(S27:V27)</f>
        <v>0</v>
      </c>
      <c r="X27" s="147"/>
    </row>
    <row r="28" spans="1:25" ht="63.75" customHeight="1" x14ac:dyDescent="0.2">
      <c r="A28" s="144" t="s">
        <v>60</v>
      </c>
      <c r="B28" s="163" t="s">
        <v>57</v>
      </c>
      <c r="C28" s="165" t="s">
        <v>58</v>
      </c>
      <c r="D28" s="116" t="s">
        <v>59</v>
      </c>
      <c r="E28" s="147">
        <v>6</v>
      </c>
      <c r="F28" s="149">
        <f t="shared" ref="F28:F55" si="12">W28</f>
        <v>6</v>
      </c>
      <c r="G28" s="149"/>
      <c r="H28" s="149">
        <f t="shared" si="3"/>
        <v>6</v>
      </c>
      <c r="I28" s="149">
        <f t="shared" si="4"/>
        <v>0</v>
      </c>
      <c r="J28" s="154">
        <f t="shared" ref="J28:J79" si="13">P28*$P$7</f>
        <v>40.158671999999996</v>
      </c>
      <c r="K28" s="149">
        <f t="shared" si="6"/>
        <v>50.78</v>
      </c>
      <c r="L28" s="159">
        <f t="shared" si="1"/>
        <v>0</v>
      </c>
      <c r="M28" s="159">
        <f t="shared" si="7"/>
        <v>304.68</v>
      </c>
      <c r="N28" s="159">
        <f t="shared" si="2"/>
        <v>0</v>
      </c>
      <c r="P28" s="154">
        <v>44.76</v>
      </c>
      <c r="S28" s="149">
        <v>6</v>
      </c>
      <c r="T28" s="149"/>
      <c r="U28" s="149"/>
      <c r="V28" s="149"/>
      <c r="W28" s="149">
        <f>SUM(S28:V28)</f>
        <v>6</v>
      </c>
      <c r="X28" s="147">
        <v>6</v>
      </c>
    </row>
    <row r="29" spans="1:25" ht="84" customHeight="1" x14ac:dyDescent="0.2">
      <c r="A29" s="144" t="s">
        <v>64</v>
      </c>
      <c r="B29" s="169" t="s">
        <v>61</v>
      </c>
      <c r="C29" s="165" t="s">
        <v>62</v>
      </c>
      <c r="D29" s="116" t="s">
        <v>63</v>
      </c>
      <c r="E29" s="147">
        <v>3</v>
      </c>
      <c r="F29" s="149">
        <f t="shared" si="12"/>
        <v>3</v>
      </c>
      <c r="G29" s="149"/>
      <c r="H29" s="149">
        <f t="shared" si="3"/>
        <v>3</v>
      </c>
      <c r="I29" s="149">
        <f t="shared" si="4"/>
        <v>0</v>
      </c>
      <c r="J29" s="154">
        <f t="shared" si="13"/>
        <v>149.42866000000001</v>
      </c>
      <c r="K29" s="149">
        <f>ROUND(J29+(J29*$L$8),2)</f>
        <v>188.94</v>
      </c>
      <c r="L29" s="159">
        <f t="shared" si="1"/>
        <v>0</v>
      </c>
      <c r="M29" s="159">
        <f t="shared" si="7"/>
        <v>566.81999999999994</v>
      </c>
      <c r="N29" s="159">
        <f t="shared" si="2"/>
        <v>0</v>
      </c>
      <c r="P29" s="154">
        <v>166.55</v>
      </c>
      <c r="Q29" s="168"/>
      <c r="R29" s="168"/>
      <c r="S29" s="149"/>
      <c r="T29" s="149">
        <v>3</v>
      </c>
      <c r="U29" s="149"/>
      <c r="V29" s="149"/>
      <c r="W29" s="149">
        <f t="shared" ref="W29:W41" si="14">SUM(S29:V29)</f>
        <v>3</v>
      </c>
      <c r="X29" s="147">
        <v>3</v>
      </c>
    </row>
    <row r="30" spans="1:25" ht="59.25" customHeight="1" x14ac:dyDescent="0.2">
      <c r="A30" s="144" t="s">
        <v>67</v>
      </c>
      <c r="B30" s="163" t="s">
        <v>65</v>
      </c>
      <c r="C30" s="165" t="s">
        <v>66</v>
      </c>
      <c r="D30" s="116" t="s">
        <v>63</v>
      </c>
      <c r="E30" s="147">
        <v>3</v>
      </c>
      <c r="F30" s="149">
        <f t="shared" si="12"/>
        <v>3</v>
      </c>
      <c r="G30" s="149"/>
      <c r="H30" s="149">
        <f t="shared" si="3"/>
        <v>3</v>
      </c>
      <c r="I30" s="149">
        <f t="shared" si="4"/>
        <v>0</v>
      </c>
      <c r="J30" s="154">
        <f t="shared" si="13"/>
        <v>274.49833999999998</v>
      </c>
      <c r="K30" s="149">
        <f t="shared" si="6"/>
        <v>347.08</v>
      </c>
      <c r="L30" s="159">
        <f t="shared" si="1"/>
        <v>0</v>
      </c>
      <c r="M30" s="159">
        <f t="shared" si="7"/>
        <v>1041.24</v>
      </c>
      <c r="N30" s="159">
        <f t="shared" si="2"/>
        <v>0</v>
      </c>
      <c r="P30" s="154">
        <v>305.95</v>
      </c>
      <c r="S30" s="149"/>
      <c r="T30" s="149">
        <v>3</v>
      </c>
      <c r="U30" s="149"/>
      <c r="V30" s="149"/>
      <c r="W30" s="149">
        <f t="shared" si="14"/>
        <v>3</v>
      </c>
      <c r="X30" s="147">
        <v>3</v>
      </c>
    </row>
    <row r="31" spans="1:25" ht="76.5" x14ac:dyDescent="0.2">
      <c r="A31" s="144" t="s">
        <v>70</v>
      </c>
      <c r="B31" s="163" t="s">
        <v>68</v>
      </c>
      <c r="C31" s="165" t="s">
        <v>69</v>
      </c>
      <c r="D31" s="116" t="s">
        <v>63</v>
      </c>
      <c r="E31" s="147">
        <v>4</v>
      </c>
      <c r="F31" s="149">
        <f t="shared" si="12"/>
        <v>4</v>
      </c>
      <c r="G31" s="149"/>
      <c r="H31" s="149">
        <f t="shared" si="3"/>
        <v>4</v>
      </c>
      <c r="I31" s="149">
        <f t="shared" si="4"/>
        <v>0</v>
      </c>
      <c r="J31" s="154">
        <f t="shared" si="13"/>
        <v>196.71109999999999</v>
      </c>
      <c r="K31" s="149">
        <f t="shared" si="6"/>
        <v>248.72</v>
      </c>
      <c r="L31" s="159">
        <f t="shared" si="1"/>
        <v>0</v>
      </c>
      <c r="M31" s="159">
        <f t="shared" si="7"/>
        <v>994.88</v>
      </c>
      <c r="N31" s="159">
        <f t="shared" si="2"/>
        <v>0</v>
      </c>
      <c r="P31" s="154">
        <v>219.25</v>
      </c>
      <c r="Q31" s="168"/>
      <c r="S31" s="149"/>
      <c r="T31" s="149">
        <v>4</v>
      </c>
      <c r="U31" s="149"/>
      <c r="V31" s="149"/>
      <c r="W31" s="149">
        <f t="shared" si="14"/>
        <v>4</v>
      </c>
      <c r="X31" s="147">
        <v>4</v>
      </c>
    </row>
    <row r="32" spans="1:25" ht="25.5" x14ac:dyDescent="0.2">
      <c r="A32" s="144" t="s">
        <v>74</v>
      </c>
      <c r="B32" s="163" t="s">
        <v>71</v>
      </c>
      <c r="C32" s="165" t="s">
        <v>72</v>
      </c>
      <c r="D32" s="116" t="s">
        <v>73</v>
      </c>
      <c r="E32" s="147">
        <v>4</v>
      </c>
      <c r="F32" s="149">
        <f t="shared" si="12"/>
        <v>4</v>
      </c>
      <c r="G32" s="149"/>
      <c r="H32" s="149">
        <f t="shared" si="3"/>
        <v>4</v>
      </c>
      <c r="I32" s="149">
        <f t="shared" si="4"/>
        <v>0</v>
      </c>
      <c r="J32" s="154">
        <f t="shared" si="13"/>
        <v>61.512032000000005</v>
      </c>
      <c r="K32" s="149">
        <f t="shared" si="6"/>
        <v>77.78</v>
      </c>
      <c r="L32" s="159">
        <f t="shared" si="1"/>
        <v>0</v>
      </c>
      <c r="M32" s="159">
        <f t="shared" si="7"/>
        <v>311.12</v>
      </c>
      <c r="N32" s="159">
        <f t="shared" si="2"/>
        <v>0</v>
      </c>
      <c r="P32" s="154">
        <v>68.56</v>
      </c>
      <c r="Q32" s="168"/>
      <c r="S32" s="149"/>
      <c r="T32" s="149">
        <v>4</v>
      </c>
      <c r="U32" s="149"/>
      <c r="V32" s="149"/>
      <c r="W32" s="149">
        <f t="shared" si="14"/>
        <v>4</v>
      </c>
      <c r="X32" s="147">
        <v>4</v>
      </c>
    </row>
    <row r="33" spans="1:24" ht="63.75" x14ac:dyDescent="0.2">
      <c r="A33" s="144" t="s">
        <v>76</v>
      </c>
      <c r="B33" s="169" t="s">
        <v>75</v>
      </c>
      <c r="C33" s="165" t="s">
        <v>195</v>
      </c>
      <c r="D33" s="116" t="s">
        <v>73</v>
      </c>
      <c r="E33" s="147">
        <v>6</v>
      </c>
      <c r="F33" s="149">
        <f t="shared" si="12"/>
        <v>6</v>
      </c>
      <c r="G33" s="149"/>
      <c r="H33" s="149">
        <f t="shared" si="3"/>
        <v>6</v>
      </c>
      <c r="I33" s="149">
        <f t="shared" si="4"/>
        <v>0</v>
      </c>
      <c r="J33" s="154">
        <f t="shared" si="13"/>
        <v>123.63416000000001</v>
      </c>
      <c r="K33" s="149">
        <f t="shared" si="6"/>
        <v>156.32</v>
      </c>
      <c r="L33" s="159">
        <f t="shared" si="1"/>
        <v>0</v>
      </c>
      <c r="M33" s="159">
        <f t="shared" si="7"/>
        <v>937.92</v>
      </c>
      <c r="N33" s="159">
        <f t="shared" si="2"/>
        <v>0</v>
      </c>
      <c r="P33" s="154">
        <v>137.80000000000001</v>
      </c>
      <c r="S33" s="149"/>
      <c r="T33" s="149">
        <v>6</v>
      </c>
      <c r="U33" s="149"/>
      <c r="V33" s="149"/>
      <c r="W33" s="149">
        <f t="shared" si="14"/>
        <v>6</v>
      </c>
      <c r="X33" s="147">
        <v>6</v>
      </c>
    </row>
    <row r="34" spans="1:24" ht="51" x14ac:dyDescent="0.2">
      <c r="A34" s="144" t="s">
        <v>201</v>
      </c>
      <c r="B34" s="163" t="s">
        <v>77</v>
      </c>
      <c r="C34" s="165" t="s">
        <v>78</v>
      </c>
      <c r="D34" s="116" t="s">
        <v>73</v>
      </c>
      <c r="E34" s="147">
        <v>1</v>
      </c>
      <c r="F34" s="149">
        <f t="shared" si="12"/>
        <v>1</v>
      </c>
      <c r="G34" s="149"/>
      <c r="H34" s="149">
        <f t="shared" si="3"/>
        <v>1</v>
      </c>
      <c r="I34" s="149">
        <f t="shared" si="4"/>
        <v>0</v>
      </c>
      <c r="J34" s="154">
        <f t="shared" si="13"/>
        <v>800.02426800000001</v>
      </c>
      <c r="K34" s="149">
        <f t="shared" si="6"/>
        <v>1011.55</v>
      </c>
      <c r="L34" s="159">
        <f t="shared" si="1"/>
        <v>0</v>
      </c>
      <c r="M34" s="159">
        <f t="shared" si="7"/>
        <v>1011.55</v>
      </c>
      <c r="N34" s="159">
        <f t="shared" si="2"/>
        <v>0</v>
      </c>
      <c r="P34" s="154">
        <v>891.69</v>
      </c>
      <c r="S34" s="149"/>
      <c r="T34" s="149">
        <v>1</v>
      </c>
      <c r="U34" s="149"/>
      <c r="V34" s="149"/>
      <c r="W34" s="149">
        <f t="shared" si="14"/>
        <v>1</v>
      </c>
      <c r="X34" s="147">
        <v>1</v>
      </c>
    </row>
    <row r="35" spans="1:24" ht="21.75" customHeight="1" x14ac:dyDescent="0.2">
      <c r="A35" s="144" t="s">
        <v>202</v>
      </c>
      <c r="B35" s="163" t="s">
        <v>79</v>
      </c>
      <c r="C35" s="165" t="s">
        <v>80</v>
      </c>
      <c r="D35" s="116" t="s">
        <v>73</v>
      </c>
      <c r="E35" s="147">
        <v>4</v>
      </c>
      <c r="F35" s="149">
        <f t="shared" si="12"/>
        <v>4</v>
      </c>
      <c r="G35" s="149"/>
      <c r="H35" s="149">
        <f t="shared" si="3"/>
        <v>4</v>
      </c>
      <c r="I35" s="149">
        <f t="shared" si="4"/>
        <v>0</v>
      </c>
      <c r="J35" s="154">
        <f t="shared" si="13"/>
        <v>18.177272000000002</v>
      </c>
      <c r="K35" s="149">
        <f t="shared" si="6"/>
        <v>22.98</v>
      </c>
      <c r="L35" s="159">
        <f t="shared" si="1"/>
        <v>0</v>
      </c>
      <c r="M35" s="159">
        <f t="shared" si="7"/>
        <v>91.92</v>
      </c>
      <c r="N35" s="159">
        <f t="shared" si="2"/>
        <v>0</v>
      </c>
      <c r="P35" s="154">
        <v>20.260000000000002</v>
      </c>
      <c r="S35" s="149"/>
      <c r="T35" s="149">
        <v>4</v>
      </c>
      <c r="U35" s="149"/>
      <c r="V35" s="149"/>
      <c r="W35" s="149">
        <f t="shared" si="14"/>
        <v>4</v>
      </c>
      <c r="X35" s="147">
        <v>4</v>
      </c>
    </row>
    <row r="36" spans="1:24" ht="25.5" x14ac:dyDescent="0.2">
      <c r="A36" s="144" t="s">
        <v>203</v>
      </c>
      <c r="B36" s="163" t="s">
        <v>81</v>
      </c>
      <c r="C36" s="165" t="s">
        <v>82</v>
      </c>
      <c r="D36" s="116" t="s">
        <v>73</v>
      </c>
      <c r="E36" s="147">
        <v>4</v>
      </c>
      <c r="F36" s="149">
        <f t="shared" si="12"/>
        <v>4</v>
      </c>
      <c r="G36" s="149"/>
      <c r="H36" s="149">
        <f t="shared" si="3"/>
        <v>4</v>
      </c>
      <c r="I36" s="149">
        <f t="shared" si="4"/>
        <v>0</v>
      </c>
      <c r="J36" s="154">
        <f t="shared" si="13"/>
        <v>51.983767999999998</v>
      </c>
      <c r="K36" s="149">
        <f t="shared" si="6"/>
        <v>65.73</v>
      </c>
      <c r="L36" s="159">
        <f t="shared" si="1"/>
        <v>0</v>
      </c>
      <c r="M36" s="159">
        <f t="shared" si="7"/>
        <v>262.92</v>
      </c>
      <c r="N36" s="159">
        <f t="shared" si="2"/>
        <v>0</v>
      </c>
      <c r="P36" s="154">
        <v>57.94</v>
      </c>
      <c r="S36" s="149"/>
      <c r="T36" s="149">
        <v>4</v>
      </c>
      <c r="U36" s="149"/>
      <c r="V36" s="149"/>
      <c r="W36" s="149">
        <f t="shared" si="14"/>
        <v>4</v>
      </c>
      <c r="X36" s="147">
        <v>4</v>
      </c>
    </row>
    <row r="37" spans="1:24" ht="38.25" x14ac:dyDescent="0.2">
      <c r="A37" s="144" t="s">
        <v>204</v>
      </c>
      <c r="B37" s="163" t="s">
        <v>83</v>
      </c>
      <c r="C37" s="165" t="s">
        <v>84</v>
      </c>
      <c r="D37" s="116" t="s">
        <v>73</v>
      </c>
      <c r="E37" s="147">
        <v>4</v>
      </c>
      <c r="F37" s="149">
        <f t="shared" si="12"/>
        <v>4</v>
      </c>
      <c r="G37" s="149"/>
      <c r="H37" s="149">
        <f t="shared" si="3"/>
        <v>4</v>
      </c>
      <c r="I37" s="149">
        <f t="shared" si="4"/>
        <v>0</v>
      </c>
      <c r="J37" s="154">
        <f t="shared" si="13"/>
        <v>92.285991999999993</v>
      </c>
      <c r="K37" s="149">
        <f t="shared" si="6"/>
        <v>116.69</v>
      </c>
      <c r="L37" s="159">
        <f t="shared" si="1"/>
        <v>0</v>
      </c>
      <c r="M37" s="159">
        <f t="shared" si="7"/>
        <v>466.76</v>
      </c>
      <c r="N37" s="159">
        <f t="shared" si="2"/>
        <v>0</v>
      </c>
      <c r="P37" s="154">
        <v>102.86</v>
      </c>
      <c r="S37" s="149"/>
      <c r="T37" s="149">
        <v>4</v>
      </c>
      <c r="U37" s="149"/>
      <c r="V37" s="149"/>
      <c r="W37" s="149">
        <f t="shared" si="14"/>
        <v>4</v>
      </c>
      <c r="X37" s="147">
        <v>4</v>
      </c>
    </row>
    <row r="38" spans="1:24" ht="38.25" x14ac:dyDescent="0.2">
      <c r="A38" s="144" t="s">
        <v>205</v>
      </c>
      <c r="B38" s="163" t="s">
        <v>85</v>
      </c>
      <c r="C38" s="165" t="s">
        <v>86</v>
      </c>
      <c r="D38" s="116" t="s">
        <v>19</v>
      </c>
      <c r="E38" s="147">
        <v>18</v>
      </c>
      <c r="F38" s="149">
        <f t="shared" si="12"/>
        <v>18</v>
      </c>
      <c r="G38" s="149"/>
      <c r="H38" s="149">
        <f t="shared" si="3"/>
        <v>18</v>
      </c>
      <c r="I38" s="149">
        <f t="shared" si="4"/>
        <v>0</v>
      </c>
      <c r="J38" s="154">
        <f t="shared" si="13"/>
        <v>36.704451999999996</v>
      </c>
      <c r="K38" s="149">
        <f t="shared" si="6"/>
        <v>46.41</v>
      </c>
      <c r="L38" s="159">
        <f t="shared" si="1"/>
        <v>0</v>
      </c>
      <c r="M38" s="159">
        <f t="shared" si="7"/>
        <v>835.37999999999988</v>
      </c>
      <c r="N38" s="159">
        <f t="shared" si="2"/>
        <v>0</v>
      </c>
      <c r="O38" s="170"/>
      <c r="P38" s="154">
        <v>40.909999999999997</v>
      </c>
      <c r="S38" s="149"/>
      <c r="T38" s="149">
        <v>18</v>
      </c>
      <c r="U38" s="149"/>
      <c r="V38" s="149"/>
      <c r="W38" s="149">
        <f t="shared" si="14"/>
        <v>18</v>
      </c>
      <c r="X38" s="147">
        <v>18</v>
      </c>
    </row>
    <row r="39" spans="1:24" ht="40.5" customHeight="1" x14ac:dyDescent="0.2">
      <c r="A39" s="144" t="s">
        <v>206</v>
      </c>
      <c r="B39" s="163" t="s">
        <v>87</v>
      </c>
      <c r="C39" s="165" t="s">
        <v>88</v>
      </c>
      <c r="D39" s="116" t="s">
        <v>19</v>
      </c>
      <c r="E39" s="147">
        <v>36</v>
      </c>
      <c r="F39" s="149">
        <f t="shared" si="12"/>
        <v>36</v>
      </c>
      <c r="G39" s="149"/>
      <c r="H39" s="149">
        <f t="shared" si="3"/>
        <v>36</v>
      </c>
      <c r="I39" s="149">
        <f t="shared" si="4"/>
        <v>0</v>
      </c>
      <c r="J39" s="154">
        <f t="shared" si="13"/>
        <v>118.81619600000001</v>
      </c>
      <c r="K39" s="149">
        <f t="shared" si="6"/>
        <v>150.22999999999999</v>
      </c>
      <c r="L39" s="159">
        <f t="shared" si="1"/>
        <v>0</v>
      </c>
      <c r="M39" s="159">
        <f t="shared" si="7"/>
        <v>5408.28</v>
      </c>
      <c r="N39" s="159">
        <f t="shared" si="2"/>
        <v>0</v>
      </c>
      <c r="O39" s="170"/>
      <c r="P39" s="154">
        <v>132.43</v>
      </c>
      <c r="S39" s="149"/>
      <c r="T39" s="149">
        <v>36</v>
      </c>
      <c r="U39" s="149"/>
      <c r="V39" s="149"/>
      <c r="W39" s="149">
        <f t="shared" si="14"/>
        <v>36</v>
      </c>
      <c r="X39" s="147">
        <v>36</v>
      </c>
    </row>
    <row r="40" spans="1:24" ht="25.5" customHeight="1" x14ac:dyDescent="0.2">
      <c r="A40" s="144" t="s">
        <v>207</v>
      </c>
      <c r="B40" s="163" t="s">
        <v>89</v>
      </c>
      <c r="C40" s="165" t="s">
        <v>90</v>
      </c>
      <c r="D40" s="116" t="s">
        <v>19</v>
      </c>
      <c r="E40" s="147">
        <v>18</v>
      </c>
      <c r="F40" s="149">
        <f t="shared" si="12"/>
        <v>18</v>
      </c>
      <c r="G40" s="149"/>
      <c r="H40" s="149">
        <f t="shared" si="3"/>
        <v>18</v>
      </c>
      <c r="I40" s="149">
        <f t="shared" si="4"/>
        <v>0</v>
      </c>
      <c r="J40" s="154">
        <f t="shared" si="13"/>
        <v>18.957836</v>
      </c>
      <c r="K40" s="149">
        <f t="shared" si="6"/>
        <v>23.97</v>
      </c>
      <c r="L40" s="159">
        <f t="shared" si="1"/>
        <v>0</v>
      </c>
      <c r="M40" s="159">
        <f t="shared" si="7"/>
        <v>431.46</v>
      </c>
      <c r="N40" s="159">
        <f t="shared" si="2"/>
        <v>0</v>
      </c>
      <c r="O40" s="170"/>
      <c r="P40" s="154">
        <v>21.13</v>
      </c>
      <c r="S40" s="149"/>
      <c r="T40" s="149">
        <v>18</v>
      </c>
      <c r="U40" s="149"/>
      <c r="V40" s="149"/>
      <c r="W40" s="149">
        <f t="shared" si="14"/>
        <v>18</v>
      </c>
      <c r="X40" s="147">
        <v>18</v>
      </c>
    </row>
    <row r="41" spans="1:24" ht="26.25" customHeight="1" x14ac:dyDescent="0.2">
      <c r="A41" s="144" t="s">
        <v>208</v>
      </c>
      <c r="B41" s="163" t="s">
        <v>91</v>
      </c>
      <c r="C41" s="165" t="s">
        <v>92</v>
      </c>
      <c r="D41" s="116" t="s">
        <v>19</v>
      </c>
      <c r="E41" s="147">
        <v>18</v>
      </c>
      <c r="F41" s="149">
        <f t="shared" si="12"/>
        <v>18</v>
      </c>
      <c r="G41" s="149"/>
      <c r="H41" s="149">
        <f t="shared" si="3"/>
        <v>18</v>
      </c>
      <c r="I41" s="149">
        <f t="shared" si="4"/>
        <v>0</v>
      </c>
      <c r="J41" s="154">
        <f t="shared" si="13"/>
        <v>20.886816</v>
      </c>
      <c r="K41" s="149">
        <f t="shared" si="6"/>
        <v>26.41</v>
      </c>
      <c r="L41" s="159">
        <f t="shared" si="1"/>
        <v>0</v>
      </c>
      <c r="M41" s="159">
        <f t="shared" si="7"/>
        <v>475.38</v>
      </c>
      <c r="N41" s="159">
        <f t="shared" si="2"/>
        <v>0</v>
      </c>
      <c r="O41" s="170"/>
      <c r="P41" s="154">
        <v>23.28</v>
      </c>
      <c r="S41" s="149"/>
      <c r="T41" s="149">
        <v>18</v>
      </c>
      <c r="U41" s="149"/>
      <c r="V41" s="149"/>
      <c r="W41" s="149">
        <f t="shared" si="14"/>
        <v>18</v>
      </c>
      <c r="X41" s="147">
        <v>18</v>
      </c>
    </row>
    <row r="42" spans="1:24" x14ac:dyDescent="0.2">
      <c r="A42" s="151">
        <v>5</v>
      </c>
      <c r="B42" s="171"/>
      <c r="C42" s="164" t="s">
        <v>93</v>
      </c>
      <c r="D42" s="158" t="s">
        <v>3</v>
      </c>
      <c r="E42" s="147"/>
      <c r="F42" s="149">
        <f t="shared" si="12"/>
        <v>0</v>
      </c>
      <c r="G42" s="149"/>
      <c r="H42" s="149">
        <f t="shared" si="3"/>
        <v>0</v>
      </c>
      <c r="I42" s="149">
        <f t="shared" si="4"/>
        <v>0</v>
      </c>
      <c r="J42" s="172"/>
      <c r="K42" s="149"/>
      <c r="L42" s="159">
        <f t="shared" si="1"/>
        <v>0</v>
      </c>
      <c r="M42" s="159">
        <f t="shared" si="7"/>
        <v>0</v>
      </c>
      <c r="N42" s="159">
        <f t="shared" si="2"/>
        <v>0</v>
      </c>
      <c r="P42" s="172"/>
      <c r="S42" s="149"/>
      <c r="T42" s="149"/>
      <c r="U42" s="149"/>
      <c r="V42" s="149"/>
      <c r="W42" s="149">
        <f>SUM(S42:V42)</f>
        <v>0</v>
      </c>
      <c r="X42" s="147"/>
    </row>
    <row r="43" spans="1:24" ht="65.25" customHeight="1" x14ac:dyDescent="0.2">
      <c r="A43" s="144" t="s">
        <v>96</v>
      </c>
      <c r="B43" s="171" t="s">
        <v>94</v>
      </c>
      <c r="C43" s="165" t="s">
        <v>95</v>
      </c>
      <c r="D43" s="158" t="s">
        <v>26</v>
      </c>
      <c r="E43" s="147">
        <v>188.56</v>
      </c>
      <c r="F43" s="149">
        <f t="shared" si="12"/>
        <v>188.56</v>
      </c>
      <c r="G43" s="149"/>
      <c r="H43" s="149">
        <f t="shared" si="3"/>
        <v>188.56</v>
      </c>
      <c r="I43" s="149">
        <f t="shared" si="4"/>
        <v>0</v>
      </c>
      <c r="J43" s="154">
        <f t="shared" si="13"/>
        <v>19.325688</v>
      </c>
      <c r="K43" s="149">
        <f t="shared" ref="K43:K79" si="15">ROUND(J43+(J43*$L$8),2)</f>
        <v>24.44</v>
      </c>
      <c r="L43" s="159">
        <f t="shared" si="1"/>
        <v>0</v>
      </c>
      <c r="M43" s="159">
        <f t="shared" si="7"/>
        <v>4608.4063999999998</v>
      </c>
      <c r="N43" s="159">
        <f t="shared" si="2"/>
        <v>0</v>
      </c>
      <c r="P43" s="172">
        <v>21.54</v>
      </c>
      <c r="S43" s="149">
        <f>71.96+116.6</f>
        <v>188.56</v>
      </c>
      <c r="T43" s="149"/>
      <c r="U43" s="149"/>
      <c r="V43" s="149"/>
      <c r="W43" s="149">
        <f>SUM(S43:V43)</f>
        <v>188.56</v>
      </c>
      <c r="X43" s="147">
        <v>188.56</v>
      </c>
    </row>
    <row r="44" spans="1:24" ht="55.5" customHeight="1" x14ac:dyDescent="0.2">
      <c r="A44" s="144" t="s">
        <v>99</v>
      </c>
      <c r="B44" s="163" t="s">
        <v>97</v>
      </c>
      <c r="C44" s="165" t="s">
        <v>98</v>
      </c>
      <c r="D44" s="116" t="s">
        <v>24</v>
      </c>
      <c r="E44" s="147">
        <v>188.56</v>
      </c>
      <c r="F44" s="149">
        <f t="shared" si="12"/>
        <v>158.56</v>
      </c>
      <c r="G44" s="147"/>
      <c r="H44" s="149">
        <f t="shared" si="3"/>
        <v>158.56</v>
      </c>
      <c r="I44" s="149">
        <f t="shared" si="4"/>
        <v>30</v>
      </c>
      <c r="J44" s="154">
        <f t="shared" si="13"/>
        <v>64.104939999999999</v>
      </c>
      <c r="K44" s="149">
        <f t="shared" si="15"/>
        <v>81.05</v>
      </c>
      <c r="L44" s="159">
        <f t="shared" si="1"/>
        <v>0</v>
      </c>
      <c r="M44" s="159">
        <f t="shared" si="7"/>
        <v>12851.288</v>
      </c>
      <c r="N44" s="159">
        <f t="shared" si="2"/>
        <v>2431.5</v>
      </c>
      <c r="O44" s="333"/>
      <c r="P44" s="154">
        <v>71.45</v>
      </c>
      <c r="S44" s="149"/>
      <c r="T44" s="149"/>
      <c r="U44" s="147">
        <v>158.56</v>
      </c>
      <c r="V44" s="147"/>
      <c r="W44" s="149">
        <f t="shared" ref="W44:W45" si="16">SUM(S44:V44)</f>
        <v>158.56</v>
      </c>
      <c r="X44" s="147">
        <v>188.56</v>
      </c>
    </row>
    <row r="45" spans="1:24" ht="32.25" customHeight="1" x14ac:dyDescent="0.2">
      <c r="A45" s="144" t="s">
        <v>102</v>
      </c>
      <c r="B45" s="163" t="s">
        <v>100</v>
      </c>
      <c r="C45" s="165" t="s">
        <v>101</v>
      </c>
      <c r="D45" s="116" t="s">
        <v>24</v>
      </c>
      <c r="E45" s="147">
        <v>21.2</v>
      </c>
      <c r="F45" s="149">
        <f t="shared" si="12"/>
        <v>21.2</v>
      </c>
      <c r="G45" s="147"/>
      <c r="H45" s="149">
        <f t="shared" si="3"/>
        <v>21.2</v>
      </c>
      <c r="I45" s="149">
        <f t="shared" si="4"/>
        <v>0</v>
      </c>
      <c r="J45" s="154">
        <f t="shared" si="13"/>
        <v>39.745959999999997</v>
      </c>
      <c r="K45" s="149">
        <f t="shared" si="15"/>
        <v>50.25</v>
      </c>
      <c r="L45" s="159">
        <f t="shared" si="1"/>
        <v>0</v>
      </c>
      <c r="M45" s="159">
        <f t="shared" si="7"/>
        <v>1065.3</v>
      </c>
      <c r="N45" s="159">
        <f t="shared" si="2"/>
        <v>0</v>
      </c>
      <c r="P45" s="154">
        <v>44.3</v>
      </c>
      <c r="S45" s="149"/>
      <c r="T45" s="149"/>
      <c r="U45" s="147">
        <v>21.2</v>
      </c>
      <c r="V45" s="147"/>
      <c r="W45" s="149">
        <f t="shared" si="16"/>
        <v>21.2</v>
      </c>
      <c r="X45" s="147">
        <v>21.2</v>
      </c>
    </row>
    <row r="46" spans="1:24" ht="25.5" customHeight="1" x14ac:dyDescent="0.2">
      <c r="A46" s="144" t="s">
        <v>103</v>
      </c>
      <c r="B46" s="163" t="s">
        <v>196</v>
      </c>
      <c r="C46" s="165" t="s">
        <v>197</v>
      </c>
      <c r="D46" s="116" t="s">
        <v>26</v>
      </c>
      <c r="E46" s="147">
        <v>221</v>
      </c>
      <c r="F46" s="149">
        <v>0</v>
      </c>
      <c r="G46" s="149">
        <v>221</v>
      </c>
      <c r="H46" s="149">
        <f t="shared" si="3"/>
        <v>221</v>
      </c>
      <c r="I46" s="149">
        <f t="shared" si="4"/>
        <v>0</v>
      </c>
      <c r="J46" s="154">
        <f t="shared" si="13"/>
        <v>26.916</v>
      </c>
      <c r="K46" s="149">
        <f t="shared" si="15"/>
        <v>34.03</v>
      </c>
      <c r="L46" s="159">
        <f t="shared" si="1"/>
        <v>7520.63</v>
      </c>
      <c r="M46" s="159">
        <f t="shared" si="7"/>
        <v>7520.63</v>
      </c>
      <c r="N46" s="159">
        <f t="shared" si="2"/>
        <v>0</v>
      </c>
      <c r="O46" s="168"/>
      <c r="P46" s="154">
        <v>30</v>
      </c>
      <c r="S46" s="149"/>
      <c r="T46" s="149"/>
      <c r="U46" s="149"/>
      <c r="V46" s="149">
        <v>221</v>
      </c>
      <c r="W46" s="149">
        <f>SUM(S46:V46)</f>
        <v>221</v>
      </c>
      <c r="X46" s="147">
        <v>221</v>
      </c>
    </row>
    <row r="47" spans="1:24" ht="52.5" customHeight="1" x14ac:dyDescent="0.2">
      <c r="A47" s="144" t="s">
        <v>106</v>
      </c>
      <c r="B47" s="163" t="s">
        <v>104</v>
      </c>
      <c r="C47" s="165" t="s">
        <v>105</v>
      </c>
      <c r="D47" s="116" t="s">
        <v>24</v>
      </c>
      <c r="E47" s="147">
        <v>21.2</v>
      </c>
      <c r="F47" s="149">
        <f t="shared" si="12"/>
        <v>21.2</v>
      </c>
      <c r="G47" s="149"/>
      <c r="H47" s="149">
        <f t="shared" si="3"/>
        <v>21.2</v>
      </c>
      <c r="I47" s="149">
        <f t="shared" si="4"/>
        <v>0</v>
      </c>
      <c r="J47" s="154">
        <f t="shared" si="13"/>
        <v>80.380148000000005</v>
      </c>
      <c r="K47" s="149">
        <f t="shared" si="15"/>
        <v>101.63</v>
      </c>
      <c r="L47" s="159">
        <f t="shared" si="1"/>
        <v>0</v>
      </c>
      <c r="M47" s="159">
        <f t="shared" si="7"/>
        <v>2154.556</v>
      </c>
      <c r="N47" s="159">
        <f t="shared" si="2"/>
        <v>0</v>
      </c>
      <c r="P47" s="154">
        <v>89.59</v>
      </c>
      <c r="S47" s="149"/>
      <c r="T47" s="149">
        <v>21.2</v>
      </c>
      <c r="U47" s="149"/>
      <c r="V47" s="149"/>
      <c r="W47" s="149">
        <f>SUM(S47:V47)</f>
        <v>21.2</v>
      </c>
      <c r="X47" s="147">
        <v>21.2</v>
      </c>
    </row>
    <row r="48" spans="1:24" x14ac:dyDescent="0.2">
      <c r="A48" s="151">
        <v>6</v>
      </c>
      <c r="B48" s="163"/>
      <c r="C48" s="164" t="s">
        <v>107</v>
      </c>
      <c r="D48" s="116" t="s">
        <v>3</v>
      </c>
      <c r="E48" s="147"/>
      <c r="F48" s="149">
        <f t="shared" si="12"/>
        <v>0</v>
      </c>
      <c r="G48" s="149"/>
      <c r="H48" s="149">
        <f t="shared" si="3"/>
        <v>0</v>
      </c>
      <c r="I48" s="149">
        <f t="shared" si="4"/>
        <v>0</v>
      </c>
      <c r="J48" s="154"/>
      <c r="K48" s="149"/>
      <c r="L48" s="159">
        <f t="shared" si="1"/>
        <v>0</v>
      </c>
      <c r="M48" s="159">
        <f t="shared" si="7"/>
        <v>0</v>
      </c>
      <c r="N48" s="159">
        <f t="shared" si="2"/>
        <v>0</v>
      </c>
      <c r="P48" s="154"/>
      <c r="S48" s="149"/>
      <c r="T48" s="149"/>
      <c r="U48" s="149"/>
      <c r="V48" s="149"/>
      <c r="W48" s="149">
        <f>SUM(S48:V48)</f>
        <v>0</v>
      </c>
      <c r="X48" s="147"/>
    </row>
    <row r="49" spans="1:24" ht="57.75" customHeight="1" x14ac:dyDescent="0.2">
      <c r="A49" s="144" t="s">
        <v>110</v>
      </c>
      <c r="B49" s="163" t="s">
        <v>108</v>
      </c>
      <c r="C49" s="165" t="s">
        <v>109</v>
      </c>
      <c r="D49" s="116" t="s">
        <v>26</v>
      </c>
      <c r="E49" s="147">
        <v>15.5</v>
      </c>
      <c r="F49" s="149">
        <f t="shared" si="12"/>
        <v>15.5</v>
      </c>
      <c r="G49" s="149"/>
      <c r="H49" s="149">
        <f t="shared" si="3"/>
        <v>15.5</v>
      </c>
      <c r="I49" s="149">
        <f t="shared" si="4"/>
        <v>0</v>
      </c>
      <c r="J49" s="154">
        <f t="shared" si="13"/>
        <v>17.396708</v>
      </c>
      <c r="K49" s="149">
        <f t="shared" si="15"/>
        <v>22</v>
      </c>
      <c r="L49" s="159">
        <f t="shared" si="1"/>
        <v>0</v>
      </c>
      <c r="M49" s="159">
        <f t="shared" si="7"/>
        <v>341</v>
      </c>
      <c r="N49" s="159">
        <f t="shared" si="2"/>
        <v>0</v>
      </c>
      <c r="P49" s="154">
        <v>19.39</v>
      </c>
      <c r="S49" s="149">
        <v>15.5</v>
      </c>
      <c r="T49" s="149"/>
      <c r="U49" s="149"/>
      <c r="V49" s="149"/>
      <c r="W49" s="149">
        <f>SUM(S49:V49)</f>
        <v>15.5</v>
      </c>
      <c r="X49" s="147">
        <v>15.5</v>
      </c>
    </row>
    <row r="50" spans="1:24" ht="51.75" customHeight="1" x14ac:dyDescent="0.2">
      <c r="A50" s="144" t="s">
        <v>113</v>
      </c>
      <c r="B50" s="163" t="s">
        <v>111</v>
      </c>
      <c r="C50" s="165" t="s">
        <v>112</v>
      </c>
      <c r="D50" s="116" t="s">
        <v>73</v>
      </c>
      <c r="E50" s="147">
        <v>4</v>
      </c>
      <c r="F50" s="149">
        <f t="shared" si="12"/>
        <v>4</v>
      </c>
      <c r="G50" s="149"/>
      <c r="H50" s="149">
        <f t="shared" si="3"/>
        <v>4</v>
      </c>
      <c r="I50" s="149">
        <f t="shared" si="4"/>
        <v>0</v>
      </c>
      <c r="J50" s="154">
        <f t="shared" si="13"/>
        <v>311.73214000000002</v>
      </c>
      <c r="K50" s="149">
        <f t="shared" si="15"/>
        <v>394.15</v>
      </c>
      <c r="L50" s="159">
        <f t="shared" si="1"/>
        <v>0</v>
      </c>
      <c r="M50" s="159">
        <f t="shared" si="7"/>
        <v>1576.6</v>
      </c>
      <c r="N50" s="159">
        <f t="shared" si="2"/>
        <v>0</v>
      </c>
      <c r="P50" s="154">
        <v>347.45</v>
      </c>
      <c r="S50" s="149"/>
      <c r="T50" s="149"/>
      <c r="U50" s="149">
        <v>4</v>
      </c>
      <c r="V50" s="149"/>
      <c r="W50" s="149">
        <f t="shared" ref="W50:W55" si="17">SUM(S50:V50)</f>
        <v>4</v>
      </c>
      <c r="X50" s="147">
        <v>4</v>
      </c>
    </row>
    <row r="51" spans="1:24" ht="53.25" customHeight="1" x14ac:dyDescent="0.2">
      <c r="A51" s="144" t="s">
        <v>116</v>
      </c>
      <c r="B51" s="163" t="s">
        <v>114</v>
      </c>
      <c r="C51" s="165" t="s">
        <v>115</v>
      </c>
      <c r="D51" s="116" t="s">
        <v>73</v>
      </c>
      <c r="E51" s="147">
        <v>4</v>
      </c>
      <c r="F51" s="149">
        <f t="shared" si="12"/>
        <v>4</v>
      </c>
      <c r="G51" s="149"/>
      <c r="H51" s="149">
        <f t="shared" si="3"/>
        <v>4</v>
      </c>
      <c r="I51" s="149">
        <f t="shared" si="4"/>
        <v>0</v>
      </c>
      <c r="J51" s="154">
        <f t="shared" si="13"/>
        <v>308.25100399999997</v>
      </c>
      <c r="K51" s="149">
        <f t="shared" si="15"/>
        <v>389.75</v>
      </c>
      <c r="L51" s="159">
        <f t="shared" si="1"/>
        <v>0</v>
      </c>
      <c r="M51" s="159">
        <f t="shared" si="7"/>
        <v>1559</v>
      </c>
      <c r="N51" s="159">
        <f t="shared" si="2"/>
        <v>0</v>
      </c>
      <c r="P51" s="154">
        <v>343.57</v>
      </c>
      <c r="S51" s="149"/>
      <c r="T51" s="149"/>
      <c r="U51" s="149">
        <v>4</v>
      </c>
      <c r="V51" s="149"/>
      <c r="W51" s="149">
        <f t="shared" si="17"/>
        <v>4</v>
      </c>
      <c r="X51" s="147">
        <v>4</v>
      </c>
    </row>
    <row r="52" spans="1:24" ht="52.5" customHeight="1" x14ac:dyDescent="0.2">
      <c r="A52" s="144" t="s">
        <v>121</v>
      </c>
      <c r="B52" s="163" t="s">
        <v>117</v>
      </c>
      <c r="C52" s="165" t="s">
        <v>118</v>
      </c>
      <c r="D52" s="116" t="s">
        <v>24</v>
      </c>
      <c r="E52" s="147">
        <v>17.7</v>
      </c>
      <c r="F52" s="149">
        <f t="shared" si="12"/>
        <v>2.2999999999999998</v>
      </c>
      <c r="G52" s="147"/>
      <c r="H52" s="149">
        <f t="shared" si="3"/>
        <v>2.2999999999999998</v>
      </c>
      <c r="I52" s="149">
        <f t="shared" si="4"/>
        <v>15.399999999999999</v>
      </c>
      <c r="J52" s="154">
        <f t="shared" si="13"/>
        <v>328.19576000000001</v>
      </c>
      <c r="K52" s="149">
        <f t="shared" si="15"/>
        <v>414.97</v>
      </c>
      <c r="L52" s="159">
        <f t="shared" si="1"/>
        <v>0</v>
      </c>
      <c r="M52" s="159">
        <f t="shared" si="7"/>
        <v>954.43100000000004</v>
      </c>
      <c r="N52" s="159">
        <f t="shared" si="2"/>
        <v>6390.54</v>
      </c>
      <c r="O52" s="333"/>
      <c r="P52" s="154">
        <v>365.8</v>
      </c>
      <c r="S52" s="149"/>
      <c r="T52" s="149"/>
      <c r="U52" s="149">
        <v>2.2999999999999998</v>
      </c>
      <c r="V52" s="149"/>
      <c r="W52" s="149">
        <f t="shared" si="17"/>
        <v>2.2999999999999998</v>
      </c>
      <c r="X52" s="147">
        <v>17.7</v>
      </c>
    </row>
    <row r="53" spans="1:24" ht="52.5" customHeight="1" x14ac:dyDescent="0.2">
      <c r="A53" s="144" t="s">
        <v>124</v>
      </c>
      <c r="B53" s="163" t="s">
        <v>119</v>
      </c>
      <c r="C53" s="165" t="s">
        <v>120</v>
      </c>
      <c r="D53" s="116" t="s">
        <v>24</v>
      </c>
      <c r="E53" s="147">
        <v>8</v>
      </c>
      <c r="F53" s="149">
        <f t="shared" si="12"/>
        <v>8</v>
      </c>
      <c r="G53" s="149"/>
      <c r="H53" s="149">
        <f t="shared" si="3"/>
        <v>8</v>
      </c>
      <c r="I53" s="149">
        <f t="shared" si="4"/>
        <v>0</v>
      </c>
      <c r="J53" s="154">
        <f t="shared" si="13"/>
        <v>401.48802799999999</v>
      </c>
      <c r="K53" s="149">
        <f t="shared" si="15"/>
        <v>507.64</v>
      </c>
      <c r="L53" s="159">
        <f t="shared" si="1"/>
        <v>0</v>
      </c>
      <c r="M53" s="159">
        <f t="shared" si="7"/>
        <v>4061.12</v>
      </c>
      <c r="N53" s="159">
        <f t="shared" si="2"/>
        <v>0</v>
      </c>
      <c r="P53" s="154">
        <v>447.49</v>
      </c>
      <c r="S53" s="149"/>
      <c r="T53" s="149"/>
      <c r="U53" s="149">
        <v>8</v>
      </c>
      <c r="V53" s="149"/>
      <c r="W53" s="149">
        <f t="shared" si="17"/>
        <v>8</v>
      </c>
      <c r="X53" s="147">
        <v>8</v>
      </c>
    </row>
    <row r="54" spans="1:24" ht="63.75" x14ac:dyDescent="0.2">
      <c r="A54" s="144" t="s">
        <v>209</v>
      </c>
      <c r="B54" s="163" t="s">
        <v>122</v>
      </c>
      <c r="C54" s="165" t="s">
        <v>123</v>
      </c>
      <c r="D54" s="116" t="s">
        <v>73</v>
      </c>
      <c r="E54" s="147">
        <v>4</v>
      </c>
      <c r="F54" s="149">
        <f t="shared" si="12"/>
        <v>4</v>
      </c>
      <c r="G54" s="149"/>
      <c r="H54" s="149">
        <f t="shared" si="3"/>
        <v>4</v>
      </c>
      <c r="I54" s="149">
        <f t="shared" si="4"/>
        <v>0</v>
      </c>
      <c r="J54" s="154">
        <f t="shared" si="13"/>
        <v>101.903976</v>
      </c>
      <c r="K54" s="149">
        <f t="shared" si="15"/>
        <v>128.85</v>
      </c>
      <c r="L54" s="159">
        <f t="shared" si="1"/>
        <v>0</v>
      </c>
      <c r="M54" s="159">
        <f t="shared" si="7"/>
        <v>515.4</v>
      </c>
      <c r="N54" s="159">
        <f t="shared" si="2"/>
        <v>0</v>
      </c>
      <c r="P54" s="154">
        <v>113.58</v>
      </c>
      <c r="S54" s="149"/>
      <c r="T54" s="149"/>
      <c r="U54" s="149">
        <v>4</v>
      </c>
      <c r="V54" s="149"/>
      <c r="W54" s="149">
        <f t="shared" si="17"/>
        <v>4</v>
      </c>
      <c r="X54" s="147">
        <v>4</v>
      </c>
    </row>
    <row r="55" spans="1:24" ht="42" customHeight="1" x14ac:dyDescent="0.2">
      <c r="A55" s="144" t="s">
        <v>210</v>
      </c>
      <c r="B55" s="163" t="s">
        <v>125</v>
      </c>
      <c r="C55" s="165" t="s">
        <v>126</v>
      </c>
      <c r="D55" s="116" t="s">
        <v>73</v>
      </c>
      <c r="E55" s="147">
        <v>12</v>
      </c>
      <c r="F55" s="149">
        <f t="shared" si="12"/>
        <v>12</v>
      </c>
      <c r="G55" s="147"/>
      <c r="H55" s="149">
        <f t="shared" si="3"/>
        <v>12</v>
      </c>
      <c r="I55" s="149">
        <f t="shared" si="4"/>
        <v>0</v>
      </c>
      <c r="J55" s="154">
        <f t="shared" si="13"/>
        <v>21.550743999999998</v>
      </c>
      <c r="K55" s="149">
        <f t="shared" si="15"/>
        <v>27.25</v>
      </c>
      <c r="L55" s="159">
        <f t="shared" si="1"/>
        <v>0</v>
      </c>
      <c r="M55" s="159">
        <f t="shared" si="7"/>
        <v>327</v>
      </c>
      <c r="N55" s="159">
        <f t="shared" si="2"/>
        <v>0</v>
      </c>
      <c r="P55" s="154">
        <v>24.02</v>
      </c>
      <c r="S55" s="147"/>
      <c r="T55" s="147"/>
      <c r="U55" s="147">
        <v>12</v>
      </c>
      <c r="V55" s="147"/>
      <c r="W55" s="149">
        <f t="shared" si="17"/>
        <v>12</v>
      </c>
      <c r="X55" s="147">
        <v>12</v>
      </c>
    </row>
    <row r="56" spans="1:24" x14ac:dyDescent="0.2">
      <c r="A56" s="151">
        <v>7</v>
      </c>
      <c r="B56" s="163"/>
      <c r="C56" s="164" t="s">
        <v>127</v>
      </c>
      <c r="D56" s="116" t="s">
        <v>3</v>
      </c>
      <c r="E56" s="147"/>
      <c r="F56" s="149"/>
      <c r="G56" s="147"/>
      <c r="H56" s="149"/>
      <c r="I56" s="149"/>
      <c r="J56" s="154"/>
      <c r="K56" s="149"/>
      <c r="L56" s="159"/>
      <c r="M56" s="159"/>
      <c r="N56" s="159"/>
      <c r="P56" s="154"/>
      <c r="S56" s="147"/>
      <c r="T56" s="147"/>
      <c r="U56" s="147"/>
      <c r="V56" s="147"/>
      <c r="W56" s="149">
        <f>SUM(S56:V56)</f>
        <v>0</v>
      </c>
      <c r="X56" s="147"/>
    </row>
    <row r="57" spans="1:24" ht="28.5" customHeight="1" x14ac:dyDescent="0.2">
      <c r="A57" s="144" t="s">
        <v>128</v>
      </c>
      <c r="B57" s="163" t="s">
        <v>196</v>
      </c>
      <c r="C57" s="165" t="s">
        <v>199</v>
      </c>
      <c r="D57" s="116" t="s">
        <v>24</v>
      </c>
      <c r="E57" s="147">
        <v>255</v>
      </c>
      <c r="F57" s="149">
        <v>0</v>
      </c>
      <c r="G57" s="147">
        <v>178.5</v>
      </c>
      <c r="H57" s="149">
        <f t="shared" si="3"/>
        <v>178.5</v>
      </c>
      <c r="I57" s="149">
        <f t="shared" si="4"/>
        <v>76.5</v>
      </c>
      <c r="J57" s="154">
        <f t="shared" si="13"/>
        <v>17.558204</v>
      </c>
      <c r="K57" s="149">
        <f t="shared" si="15"/>
        <v>22.2</v>
      </c>
      <c r="L57" s="159">
        <f t="shared" si="1"/>
        <v>3962.7</v>
      </c>
      <c r="M57" s="159">
        <f t="shared" si="7"/>
        <v>3962.7</v>
      </c>
      <c r="N57" s="159">
        <f t="shared" si="2"/>
        <v>1698.3</v>
      </c>
      <c r="O57" s="333"/>
      <c r="P57" s="154">
        <v>19.57</v>
      </c>
      <c r="Q57" s="120">
        <f>15*17</f>
        <v>255</v>
      </c>
      <c r="S57" s="147"/>
      <c r="T57" s="147"/>
      <c r="U57" s="147"/>
      <c r="V57" s="147">
        <v>178.5</v>
      </c>
      <c r="W57" s="149">
        <f>SUM(S57:V57)</f>
        <v>178.5</v>
      </c>
      <c r="X57" s="147">
        <v>255</v>
      </c>
    </row>
    <row r="58" spans="1:24" ht="24" customHeight="1" x14ac:dyDescent="0.2">
      <c r="A58" s="144" t="s">
        <v>129</v>
      </c>
      <c r="B58" s="163" t="s">
        <v>196</v>
      </c>
      <c r="C58" s="165" t="s">
        <v>198</v>
      </c>
      <c r="D58" s="116" t="s">
        <v>24</v>
      </c>
      <c r="E58" s="147">
        <v>255</v>
      </c>
      <c r="F58" s="149">
        <v>0</v>
      </c>
      <c r="G58" s="147">
        <v>255</v>
      </c>
      <c r="H58" s="149">
        <f t="shared" si="3"/>
        <v>255</v>
      </c>
      <c r="I58" s="149">
        <f t="shared" si="4"/>
        <v>0</v>
      </c>
      <c r="J58" s="154">
        <f t="shared" si="13"/>
        <v>30.101059999999997</v>
      </c>
      <c r="K58" s="149">
        <f t="shared" si="15"/>
        <v>38.06</v>
      </c>
      <c r="L58" s="159">
        <f t="shared" si="1"/>
        <v>9705.2999999999993</v>
      </c>
      <c r="M58" s="159">
        <f t="shared" si="7"/>
        <v>9705.3000000000011</v>
      </c>
      <c r="N58" s="159">
        <f t="shared" si="2"/>
        <v>0</v>
      </c>
      <c r="P58" s="154">
        <v>33.549999999999997</v>
      </c>
      <c r="S58" s="147"/>
      <c r="T58" s="147"/>
      <c r="U58" s="147"/>
      <c r="V58" s="147">
        <v>255</v>
      </c>
      <c r="W58" s="149">
        <f t="shared" ref="W58:W61" si="18">SUM(S58:V58)</f>
        <v>255</v>
      </c>
      <c r="X58" s="147">
        <v>255</v>
      </c>
    </row>
    <row r="59" spans="1:24" ht="40.5" customHeight="1" x14ac:dyDescent="0.2">
      <c r="A59" s="144" t="s">
        <v>134</v>
      </c>
      <c r="B59" s="163" t="s">
        <v>130</v>
      </c>
      <c r="C59" s="165" t="s">
        <v>131</v>
      </c>
      <c r="D59" s="116" t="s">
        <v>24</v>
      </c>
      <c r="E59" s="147">
        <v>21.2</v>
      </c>
      <c r="F59" s="149">
        <v>0</v>
      </c>
      <c r="G59" s="147">
        <v>21.2</v>
      </c>
      <c r="H59" s="149">
        <f t="shared" si="3"/>
        <v>21.2</v>
      </c>
      <c r="I59" s="149">
        <f t="shared" si="4"/>
        <v>0</v>
      </c>
      <c r="J59" s="154">
        <f t="shared" si="13"/>
        <v>13.897628000000001</v>
      </c>
      <c r="K59" s="149">
        <f t="shared" si="15"/>
        <v>17.57</v>
      </c>
      <c r="L59" s="159">
        <f t="shared" si="1"/>
        <v>372.48</v>
      </c>
      <c r="M59" s="159">
        <f t="shared" si="7"/>
        <v>372.48399999999998</v>
      </c>
      <c r="N59" s="159">
        <f t="shared" si="2"/>
        <v>0</v>
      </c>
      <c r="P59" s="154">
        <v>15.49</v>
      </c>
      <c r="S59" s="147"/>
      <c r="T59" s="147"/>
      <c r="U59" s="147"/>
      <c r="V59" s="147">
        <v>21.2</v>
      </c>
      <c r="W59" s="149">
        <f t="shared" si="18"/>
        <v>21.2</v>
      </c>
      <c r="X59" s="147">
        <v>21.2</v>
      </c>
    </row>
    <row r="60" spans="1:24" ht="43.5" customHeight="1" x14ac:dyDescent="0.2">
      <c r="A60" s="144" t="s">
        <v>137</v>
      </c>
      <c r="B60" s="163" t="s">
        <v>132</v>
      </c>
      <c r="C60" s="165" t="s">
        <v>133</v>
      </c>
      <c r="D60" s="116" t="s">
        <v>24</v>
      </c>
      <c r="E60" s="147">
        <v>2374</v>
      </c>
      <c r="F60" s="149">
        <v>0</v>
      </c>
      <c r="G60" s="147">
        <v>2374</v>
      </c>
      <c r="H60" s="149">
        <f t="shared" si="3"/>
        <v>2374</v>
      </c>
      <c r="I60" s="149">
        <f t="shared" si="4"/>
        <v>0</v>
      </c>
      <c r="J60" s="154">
        <f t="shared" si="13"/>
        <v>14.229592</v>
      </c>
      <c r="K60" s="149">
        <f t="shared" si="15"/>
        <v>17.989999999999998</v>
      </c>
      <c r="L60" s="159">
        <f t="shared" si="1"/>
        <v>42708.26</v>
      </c>
      <c r="M60" s="159">
        <f t="shared" si="7"/>
        <v>42708.259999999995</v>
      </c>
      <c r="N60" s="159">
        <f t="shared" si="2"/>
        <v>0</v>
      </c>
      <c r="P60" s="154">
        <v>15.86</v>
      </c>
      <c r="S60" s="147"/>
      <c r="T60" s="147"/>
      <c r="U60" s="147"/>
      <c r="V60" s="147">
        <v>2374</v>
      </c>
      <c r="W60" s="149">
        <f t="shared" si="18"/>
        <v>2374</v>
      </c>
      <c r="X60" s="147">
        <v>2374</v>
      </c>
    </row>
    <row r="61" spans="1:24" ht="41.25" customHeight="1" x14ac:dyDescent="0.2">
      <c r="A61" s="144" t="s">
        <v>138</v>
      </c>
      <c r="B61" s="163" t="s">
        <v>135</v>
      </c>
      <c r="C61" s="165" t="s">
        <v>136</v>
      </c>
      <c r="D61" s="116" t="s">
        <v>24</v>
      </c>
      <c r="E61" s="147">
        <v>21.2</v>
      </c>
      <c r="F61" s="149">
        <v>0</v>
      </c>
      <c r="G61" s="147"/>
      <c r="H61" s="149">
        <f t="shared" si="3"/>
        <v>0</v>
      </c>
      <c r="I61" s="149">
        <f t="shared" si="4"/>
        <v>21.2</v>
      </c>
      <c r="J61" s="154">
        <f t="shared" si="13"/>
        <v>6.4329239999999999</v>
      </c>
      <c r="K61" s="149">
        <f t="shared" si="15"/>
        <v>8.1300000000000008</v>
      </c>
      <c r="L61" s="159">
        <f t="shared" si="1"/>
        <v>0</v>
      </c>
      <c r="M61" s="159">
        <f t="shared" si="7"/>
        <v>0</v>
      </c>
      <c r="N61" s="159">
        <f t="shared" si="2"/>
        <v>172.36</v>
      </c>
      <c r="O61" s="333"/>
      <c r="P61" s="154">
        <v>7.17</v>
      </c>
      <c r="S61" s="147"/>
      <c r="T61" s="147"/>
      <c r="U61" s="147"/>
      <c r="V61" s="147"/>
      <c r="W61" s="149">
        <f t="shared" si="18"/>
        <v>0</v>
      </c>
      <c r="X61" s="147">
        <v>21.2</v>
      </c>
    </row>
    <row r="62" spans="1:24" x14ac:dyDescent="0.2">
      <c r="A62" s="151">
        <v>8</v>
      </c>
      <c r="B62" s="163"/>
      <c r="C62" s="164" t="s">
        <v>139</v>
      </c>
      <c r="D62" s="116" t="s">
        <v>3</v>
      </c>
      <c r="E62" s="147"/>
      <c r="F62" s="149"/>
      <c r="G62" s="147"/>
      <c r="H62" s="149"/>
      <c r="I62" s="149"/>
      <c r="J62" s="154"/>
      <c r="K62" s="149"/>
      <c r="L62" s="159"/>
      <c r="M62" s="159"/>
      <c r="N62" s="159"/>
      <c r="P62" s="154"/>
      <c r="S62" s="147"/>
      <c r="T62" s="147"/>
      <c r="U62" s="147"/>
      <c r="V62" s="147"/>
      <c r="W62" s="149">
        <f>SUM(S62:V62)</f>
        <v>0</v>
      </c>
      <c r="X62" s="147"/>
    </row>
    <row r="63" spans="1:24" ht="52.5" customHeight="1" x14ac:dyDescent="0.2">
      <c r="A63" s="144" t="s">
        <v>140</v>
      </c>
      <c r="B63" s="163" t="s">
        <v>141</v>
      </c>
      <c r="C63" s="165" t="s">
        <v>142</v>
      </c>
      <c r="D63" s="116" t="s">
        <v>143</v>
      </c>
      <c r="E63" s="147">
        <v>7</v>
      </c>
      <c r="F63" s="149">
        <f t="shared" ref="F63:F70" si="19">W63</f>
        <v>6</v>
      </c>
      <c r="G63" s="147"/>
      <c r="H63" s="149">
        <f t="shared" si="3"/>
        <v>6</v>
      </c>
      <c r="I63" s="149">
        <f t="shared" si="4"/>
        <v>1</v>
      </c>
      <c r="J63" s="154">
        <f t="shared" si="13"/>
        <v>155.000272</v>
      </c>
      <c r="K63" s="149">
        <f t="shared" si="15"/>
        <v>195.98</v>
      </c>
      <c r="L63" s="159">
        <f t="shared" si="1"/>
        <v>0</v>
      </c>
      <c r="M63" s="159">
        <f t="shared" si="7"/>
        <v>1175.8799999999999</v>
      </c>
      <c r="N63" s="159">
        <f t="shared" si="2"/>
        <v>195.98</v>
      </c>
      <c r="O63" s="333"/>
      <c r="P63" s="154">
        <v>172.76</v>
      </c>
      <c r="S63" s="147"/>
      <c r="T63" s="147"/>
      <c r="U63" s="147">
        <v>6</v>
      </c>
      <c r="V63" s="147"/>
      <c r="W63" s="149">
        <f>SUM(S63:V63)</f>
        <v>6</v>
      </c>
      <c r="X63" s="147">
        <v>7</v>
      </c>
    </row>
    <row r="64" spans="1:24" ht="39" customHeight="1" x14ac:dyDescent="0.2">
      <c r="A64" s="144" t="s">
        <v>144</v>
      </c>
      <c r="B64" s="163" t="s">
        <v>145</v>
      </c>
      <c r="C64" s="165" t="s">
        <v>146</v>
      </c>
      <c r="D64" s="116" t="s">
        <v>19</v>
      </c>
      <c r="E64" s="147">
        <v>100</v>
      </c>
      <c r="F64" s="149">
        <f t="shared" si="19"/>
        <v>100</v>
      </c>
      <c r="G64" s="147"/>
      <c r="H64" s="149">
        <f t="shared" si="3"/>
        <v>100</v>
      </c>
      <c r="I64" s="149">
        <f t="shared" si="4"/>
        <v>0</v>
      </c>
      <c r="J64" s="154">
        <f t="shared" si="13"/>
        <v>3.7233800000000001</v>
      </c>
      <c r="K64" s="149">
        <f t="shared" si="15"/>
        <v>4.71</v>
      </c>
      <c r="L64" s="159">
        <f t="shared" si="1"/>
        <v>0</v>
      </c>
      <c r="M64" s="159">
        <f t="shared" si="7"/>
        <v>471</v>
      </c>
      <c r="N64" s="159">
        <f t="shared" si="2"/>
        <v>0</v>
      </c>
      <c r="P64" s="154">
        <v>4.1500000000000004</v>
      </c>
      <c r="S64" s="147"/>
      <c r="T64" s="147"/>
      <c r="U64" s="147">
        <v>100</v>
      </c>
      <c r="V64" s="147"/>
      <c r="W64" s="149">
        <f t="shared" ref="W64:W70" si="20">SUM(S64:V64)</f>
        <v>100</v>
      </c>
      <c r="X64" s="147">
        <v>100</v>
      </c>
    </row>
    <row r="65" spans="1:24" ht="38.25" customHeight="1" x14ac:dyDescent="0.2">
      <c r="A65" s="144" t="s">
        <v>147</v>
      </c>
      <c r="B65" s="163" t="s">
        <v>148</v>
      </c>
      <c r="C65" s="165" t="s">
        <v>149</v>
      </c>
      <c r="D65" s="116" t="s">
        <v>19</v>
      </c>
      <c r="E65" s="147">
        <v>100</v>
      </c>
      <c r="F65" s="149">
        <v>0</v>
      </c>
      <c r="G65" s="147">
        <v>100</v>
      </c>
      <c r="H65" s="149">
        <f t="shared" si="3"/>
        <v>100</v>
      </c>
      <c r="I65" s="149">
        <f t="shared" si="4"/>
        <v>0</v>
      </c>
      <c r="J65" s="154">
        <f t="shared" si="13"/>
        <v>6.8097479999999999</v>
      </c>
      <c r="K65" s="149">
        <f t="shared" si="15"/>
        <v>8.61</v>
      </c>
      <c r="L65" s="159">
        <f t="shared" si="1"/>
        <v>861</v>
      </c>
      <c r="M65" s="159">
        <f t="shared" si="7"/>
        <v>861</v>
      </c>
      <c r="N65" s="159">
        <f t="shared" si="2"/>
        <v>0</v>
      </c>
      <c r="P65" s="154">
        <v>7.59</v>
      </c>
      <c r="S65" s="147"/>
      <c r="T65" s="147"/>
      <c r="U65" s="147"/>
      <c r="V65" s="147">
        <v>100</v>
      </c>
      <c r="W65" s="149">
        <f t="shared" si="20"/>
        <v>100</v>
      </c>
      <c r="X65" s="147">
        <v>100</v>
      </c>
    </row>
    <row r="66" spans="1:24" ht="48" customHeight="1" x14ac:dyDescent="0.2">
      <c r="A66" s="144" t="s">
        <v>150</v>
      </c>
      <c r="B66" s="163" t="s">
        <v>151</v>
      </c>
      <c r="C66" s="165" t="s">
        <v>152</v>
      </c>
      <c r="D66" s="116" t="s">
        <v>73</v>
      </c>
      <c r="E66" s="147">
        <v>8</v>
      </c>
      <c r="F66" s="149">
        <f t="shared" si="19"/>
        <v>1</v>
      </c>
      <c r="G66" s="147"/>
      <c r="H66" s="149">
        <f t="shared" si="3"/>
        <v>1</v>
      </c>
      <c r="I66" s="149">
        <f t="shared" si="4"/>
        <v>7</v>
      </c>
      <c r="J66" s="154">
        <f t="shared" si="13"/>
        <v>24.726831999999998</v>
      </c>
      <c r="K66" s="149">
        <f t="shared" si="15"/>
        <v>31.26</v>
      </c>
      <c r="L66" s="159">
        <f t="shared" si="1"/>
        <v>0</v>
      </c>
      <c r="M66" s="159">
        <f t="shared" si="7"/>
        <v>31.26</v>
      </c>
      <c r="N66" s="159">
        <f t="shared" si="2"/>
        <v>218.82</v>
      </c>
      <c r="O66" s="333"/>
      <c r="P66" s="154">
        <v>27.56</v>
      </c>
      <c r="S66" s="147"/>
      <c r="T66" s="147"/>
      <c r="U66" s="147">
        <v>1</v>
      </c>
      <c r="V66" s="147"/>
      <c r="W66" s="149">
        <f t="shared" si="20"/>
        <v>1</v>
      </c>
      <c r="X66" s="147">
        <v>8</v>
      </c>
    </row>
    <row r="67" spans="1:24" ht="53.25" customHeight="1" x14ac:dyDescent="0.2">
      <c r="A67" s="144" t="s">
        <v>153</v>
      </c>
      <c r="B67" s="163" t="s">
        <v>154</v>
      </c>
      <c r="C67" s="165" t="s">
        <v>155</v>
      </c>
      <c r="D67" s="116" t="s">
        <v>73</v>
      </c>
      <c r="E67" s="147">
        <v>4</v>
      </c>
      <c r="F67" s="149">
        <f t="shared" si="19"/>
        <v>4</v>
      </c>
      <c r="G67" s="147"/>
      <c r="H67" s="149">
        <f t="shared" si="3"/>
        <v>4</v>
      </c>
      <c r="I67" s="149">
        <f t="shared" si="4"/>
        <v>0</v>
      </c>
      <c r="J67" s="154">
        <f t="shared" si="13"/>
        <v>60.964739999999999</v>
      </c>
      <c r="K67" s="149">
        <f t="shared" si="15"/>
        <v>77.08</v>
      </c>
      <c r="L67" s="159">
        <f t="shared" si="1"/>
        <v>0</v>
      </c>
      <c r="M67" s="159">
        <f t="shared" si="7"/>
        <v>308.32</v>
      </c>
      <c r="N67" s="159">
        <f t="shared" si="2"/>
        <v>0</v>
      </c>
      <c r="P67" s="154">
        <v>67.95</v>
      </c>
      <c r="S67" s="147"/>
      <c r="T67" s="147"/>
      <c r="U67" s="147">
        <v>4</v>
      </c>
      <c r="V67" s="147"/>
      <c r="W67" s="149">
        <f t="shared" si="20"/>
        <v>4</v>
      </c>
      <c r="X67" s="147">
        <v>4</v>
      </c>
    </row>
    <row r="68" spans="1:24" ht="39" customHeight="1" x14ac:dyDescent="0.2">
      <c r="A68" s="144" t="s">
        <v>156</v>
      </c>
      <c r="B68" s="163" t="s">
        <v>157</v>
      </c>
      <c r="C68" s="165" t="s">
        <v>158</v>
      </c>
      <c r="D68" s="116" t="s">
        <v>73</v>
      </c>
      <c r="E68" s="147">
        <v>1</v>
      </c>
      <c r="F68" s="149">
        <v>0</v>
      </c>
      <c r="G68" s="147"/>
      <c r="H68" s="149">
        <f t="shared" si="3"/>
        <v>0</v>
      </c>
      <c r="I68" s="149">
        <f t="shared" si="4"/>
        <v>1</v>
      </c>
      <c r="J68" s="154">
        <f t="shared" si="13"/>
        <v>156.37298799999999</v>
      </c>
      <c r="K68" s="149">
        <f t="shared" si="15"/>
        <v>197.72</v>
      </c>
      <c r="L68" s="159">
        <f t="shared" si="1"/>
        <v>0</v>
      </c>
      <c r="M68" s="159">
        <f t="shared" si="7"/>
        <v>0</v>
      </c>
      <c r="N68" s="159">
        <f t="shared" si="2"/>
        <v>197.72</v>
      </c>
      <c r="O68" s="333"/>
      <c r="P68" s="154">
        <v>174.29</v>
      </c>
      <c r="S68" s="147"/>
      <c r="T68" s="147"/>
      <c r="U68" s="147"/>
      <c r="V68" s="147"/>
      <c r="W68" s="149">
        <f t="shared" si="20"/>
        <v>0</v>
      </c>
      <c r="X68" s="147">
        <v>1</v>
      </c>
    </row>
    <row r="69" spans="1:24" ht="27.75" customHeight="1" x14ac:dyDescent="0.2">
      <c r="A69" s="144" t="s">
        <v>211</v>
      </c>
      <c r="B69" s="163" t="s">
        <v>159</v>
      </c>
      <c r="C69" s="165" t="s">
        <v>160</v>
      </c>
      <c r="D69" s="116" t="s">
        <v>73</v>
      </c>
      <c r="E69" s="147">
        <v>2</v>
      </c>
      <c r="F69" s="149">
        <v>0</v>
      </c>
      <c r="G69" s="147"/>
      <c r="H69" s="149">
        <f t="shared" si="3"/>
        <v>0</v>
      </c>
      <c r="I69" s="149">
        <f t="shared" si="4"/>
        <v>2</v>
      </c>
      <c r="J69" s="154">
        <f t="shared" si="13"/>
        <v>17.073716000000001</v>
      </c>
      <c r="K69" s="149">
        <f t="shared" si="15"/>
        <v>21.59</v>
      </c>
      <c r="L69" s="159">
        <f t="shared" si="1"/>
        <v>0</v>
      </c>
      <c r="M69" s="159">
        <f t="shared" si="7"/>
        <v>0</v>
      </c>
      <c r="N69" s="159">
        <f t="shared" si="2"/>
        <v>43.18</v>
      </c>
      <c r="O69" s="333"/>
      <c r="P69" s="154">
        <v>19.03</v>
      </c>
      <c r="S69" s="147"/>
      <c r="T69" s="147"/>
      <c r="U69" s="147"/>
      <c r="V69" s="147"/>
      <c r="W69" s="149">
        <f t="shared" si="20"/>
        <v>0</v>
      </c>
      <c r="X69" s="147">
        <v>2</v>
      </c>
    </row>
    <row r="70" spans="1:24" ht="28.5" customHeight="1" x14ac:dyDescent="0.2">
      <c r="A70" s="144" t="s">
        <v>212</v>
      </c>
      <c r="B70" s="163" t="s">
        <v>161</v>
      </c>
      <c r="C70" s="165" t="s">
        <v>162</v>
      </c>
      <c r="D70" s="116" t="s">
        <v>73</v>
      </c>
      <c r="E70" s="147">
        <v>2</v>
      </c>
      <c r="F70" s="149">
        <v>0</v>
      </c>
      <c r="G70" s="147"/>
      <c r="H70" s="149">
        <f t="shared" si="3"/>
        <v>0</v>
      </c>
      <c r="I70" s="149">
        <f t="shared" si="4"/>
        <v>2</v>
      </c>
      <c r="J70" s="154">
        <f t="shared" si="13"/>
        <v>35.484259999999999</v>
      </c>
      <c r="K70" s="149">
        <f t="shared" si="15"/>
        <v>44.87</v>
      </c>
      <c r="L70" s="159">
        <f t="shared" si="1"/>
        <v>0</v>
      </c>
      <c r="M70" s="159">
        <f t="shared" si="7"/>
        <v>0</v>
      </c>
      <c r="N70" s="159">
        <f t="shared" si="2"/>
        <v>89.74</v>
      </c>
      <c r="O70" s="333"/>
      <c r="P70" s="154">
        <v>39.549999999999997</v>
      </c>
      <c r="S70" s="147"/>
      <c r="T70" s="147"/>
      <c r="U70" s="147"/>
      <c r="V70" s="147"/>
      <c r="W70" s="149">
        <f t="shared" si="20"/>
        <v>0</v>
      </c>
      <c r="X70" s="147">
        <v>2</v>
      </c>
    </row>
    <row r="71" spans="1:24" x14ac:dyDescent="0.2">
      <c r="A71" s="151">
        <v>9</v>
      </c>
      <c r="B71" s="163"/>
      <c r="C71" s="164" t="s">
        <v>163</v>
      </c>
      <c r="D71" s="116" t="s">
        <v>3</v>
      </c>
      <c r="E71" s="147"/>
      <c r="F71" s="149"/>
      <c r="G71" s="147"/>
      <c r="H71" s="149"/>
      <c r="I71" s="149"/>
      <c r="J71" s="154"/>
      <c r="K71" s="149"/>
      <c r="L71" s="159"/>
      <c r="M71" s="159"/>
      <c r="N71" s="159"/>
      <c r="P71" s="154"/>
      <c r="S71" s="147"/>
      <c r="T71" s="147"/>
      <c r="U71" s="147"/>
      <c r="V71" s="147"/>
      <c r="W71" s="149">
        <f>SUM(S71:V71)</f>
        <v>0</v>
      </c>
      <c r="X71" s="147"/>
    </row>
    <row r="72" spans="1:24" ht="51.75" customHeight="1" x14ac:dyDescent="0.2">
      <c r="A72" s="144" t="s">
        <v>164</v>
      </c>
      <c r="B72" s="163" t="s">
        <v>165</v>
      </c>
      <c r="C72" s="165" t="s">
        <v>166</v>
      </c>
      <c r="D72" s="116" t="s">
        <v>73</v>
      </c>
      <c r="E72" s="147">
        <v>3</v>
      </c>
      <c r="F72" s="149">
        <v>0</v>
      </c>
      <c r="G72" s="147"/>
      <c r="H72" s="149">
        <f t="shared" si="3"/>
        <v>0</v>
      </c>
      <c r="I72" s="149">
        <f t="shared" si="4"/>
        <v>3</v>
      </c>
      <c r="J72" s="154">
        <f t="shared" si="13"/>
        <v>509.44810400000006</v>
      </c>
      <c r="K72" s="149">
        <f t="shared" si="15"/>
        <v>644.15</v>
      </c>
      <c r="L72" s="159">
        <f t="shared" si="1"/>
        <v>0</v>
      </c>
      <c r="M72" s="159">
        <f t="shared" si="7"/>
        <v>0</v>
      </c>
      <c r="N72" s="159">
        <f t="shared" si="2"/>
        <v>1932.45</v>
      </c>
      <c r="O72" s="333"/>
      <c r="P72" s="154">
        <v>567.82000000000005</v>
      </c>
      <c r="S72" s="147"/>
      <c r="T72" s="147"/>
      <c r="U72" s="147"/>
      <c r="V72" s="147"/>
      <c r="W72" s="149">
        <f>SUM(S72:V72)</f>
        <v>0</v>
      </c>
      <c r="X72" s="147">
        <v>3</v>
      </c>
    </row>
    <row r="73" spans="1:24" ht="39.75" customHeight="1" x14ac:dyDescent="0.2">
      <c r="A73" s="144" t="s">
        <v>167</v>
      </c>
      <c r="B73" s="163" t="s">
        <v>170</v>
      </c>
      <c r="C73" s="165" t="s">
        <v>171</v>
      </c>
      <c r="D73" s="116" t="s">
        <v>73</v>
      </c>
      <c r="E73" s="147">
        <v>3</v>
      </c>
      <c r="F73" s="149">
        <v>0</v>
      </c>
      <c r="G73" s="147"/>
      <c r="H73" s="149">
        <f t="shared" si="3"/>
        <v>0</v>
      </c>
      <c r="I73" s="149">
        <f t="shared" si="4"/>
        <v>3</v>
      </c>
      <c r="J73" s="154">
        <f t="shared" si="13"/>
        <v>198.58624800000001</v>
      </c>
      <c r="K73" s="149">
        <f t="shared" si="15"/>
        <v>251.09</v>
      </c>
      <c r="L73" s="159">
        <f t="shared" si="1"/>
        <v>0</v>
      </c>
      <c r="M73" s="159">
        <f t="shared" si="7"/>
        <v>0</v>
      </c>
      <c r="N73" s="159">
        <f t="shared" si="2"/>
        <v>753.27</v>
      </c>
      <c r="O73" s="333"/>
      <c r="P73" s="154">
        <v>221.34</v>
      </c>
      <c r="S73" s="147"/>
      <c r="T73" s="147"/>
      <c r="U73" s="147"/>
      <c r="V73" s="147"/>
      <c r="W73" s="149">
        <f t="shared" ref="W73:W77" si="21">SUM(S73:V73)</f>
        <v>0</v>
      </c>
      <c r="X73" s="147">
        <v>3</v>
      </c>
    </row>
    <row r="74" spans="1:24" ht="28.5" customHeight="1" x14ac:dyDescent="0.2">
      <c r="A74" s="144" t="s">
        <v>168</v>
      </c>
      <c r="B74" s="163" t="s">
        <v>173</v>
      </c>
      <c r="C74" s="165" t="s">
        <v>174</v>
      </c>
      <c r="D74" s="116" t="s">
        <v>143</v>
      </c>
      <c r="E74" s="147">
        <v>2</v>
      </c>
      <c r="F74" s="149">
        <v>0</v>
      </c>
      <c r="G74" s="147">
        <v>1</v>
      </c>
      <c r="H74" s="149">
        <f t="shared" si="3"/>
        <v>1</v>
      </c>
      <c r="I74" s="149">
        <f t="shared" si="4"/>
        <v>1</v>
      </c>
      <c r="J74" s="154">
        <f t="shared" si="13"/>
        <v>620.53043600000001</v>
      </c>
      <c r="K74" s="149">
        <f t="shared" si="15"/>
        <v>784.6</v>
      </c>
      <c r="L74" s="159">
        <f t="shared" si="1"/>
        <v>784.6</v>
      </c>
      <c r="M74" s="159">
        <f t="shared" si="7"/>
        <v>784.6</v>
      </c>
      <c r="N74" s="159">
        <f t="shared" si="2"/>
        <v>784.6</v>
      </c>
      <c r="O74" s="333"/>
      <c r="P74" s="154">
        <v>691.63</v>
      </c>
      <c r="S74" s="147"/>
      <c r="T74" s="147"/>
      <c r="U74" s="147"/>
      <c r="V74" s="147">
        <v>1</v>
      </c>
      <c r="W74" s="149">
        <f t="shared" si="21"/>
        <v>1</v>
      </c>
      <c r="X74" s="147">
        <v>2</v>
      </c>
    </row>
    <row r="75" spans="1:24" ht="30.75" customHeight="1" x14ac:dyDescent="0.2">
      <c r="A75" s="144" t="s">
        <v>169</v>
      </c>
      <c r="B75" s="163" t="s">
        <v>176</v>
      </c>
      <c r="C75" s="165" t="s">
        <v>177</v>
      </c>
      <c r="D75" s="116" t="s">
        <v>143</v>
      </c>
      <c r="E75" s="147">
        <v>2</v>
      </c>
      <c r="F75" s="149">
        <v>0</v>
      </c>
      <c r="G75" s="147">
        <v>1</v>
      </c>
      <c r="H75" s="149">
        <f t="shared" si="3"/>
        <v>1</v>
      </c>
      <c r="I75" s="149">
        <f t="shared" si="4"/>
        <v>1</v>
      </c>
      <c r="J75" s="154">
        <f t="shared" si="13"/>
        <v>223.39382800000001</v>
      </c>
      <c r="K75" s="149">
        <f t="shared" si="15"/>
        <v>282.45999999999998</v>
      </c>
      <c r="L75" s="159">
        <f t="shared" si="1"/>
        <v>282.45999999999998</v>
      </c>
      <c r="M75" s="159">
        <f t="shared" si="7"/>
        <v>282.45999999999998</v>
      </c>
      <c r="N75" s="159">
        <f t="shared" si="2"/>
        <v>282.45999999999998</v>
      </c>
      <c r="O75" s="333"/>
      <c r="P75" s="154">
        <v>248.99</v>
      </c>
      <c r="S75" s="147"/>
      <c r="T75" s="147"/>
      <c r="U75" s="147"/>
      <c r="V75" s="147">
        <v>1</v>
      </c>
      <c r="W75" s="149">
        <f t="shared" si="21"/>
        <v>1</v>
      </c>
      <c r="X75" s="147">
        <v>2</v>
      </c>
    </row>
    <row r="76" spans="1:24" ht="21.75" customHeight="1" x14ac:dyDescent="0.2">
      <c r="A76" s="144" t="s">
        <v>172</v>
      </c>
      <c r="B76" s="163" t="s">
        <v>178</v>
      </c>
      <c r="C76" s="165" t="s">
        <v>179</v>
      </c>
      <c r="D76" s="116" t="s">
        <v>24</v>
      </c>
      <c r="E76" s="147">
        <v>3</v>
      </c>
      <c r="F76" s="149">
        <v>0</v>
      </c>
      <c r="G76" s="147"/>
      <c r="H76" s="149">
        <f t="shared" si="3"/>
        <v>0</v>
      </c>
      <c r="I76" s="149">
        <f t="shared" si="4"/>
        <v>3</v>
      </c>
      <c r="J76" s="154">
        <f t="shared" si="13"/>
        <v>324.71462400000001</v>
      </c>
      <c r="K76" s="149">
        <f t="shared" si="15"/>
        <v>410.57</v>
      </c>
      <c r="L76" s="159">
        <f t="shared" si="1"/>
        <v>0</v>
      </c>
      <c r="M76" s="159">
        <f t="shared" si="7"/>
        <v>0</v>
      </c>
      <c r="N76" s="159">
        <f t="shared" si="2"/>
        <v>1231.71</v>
      </c>
      <c r="O76" s="333"/>
      <c r="P76" s="154">
        <v>361.92</v>
      </c>
      <c r="S76" s="147"/>
      <c r="T76" s="147"/>
      <c r="U76" s="147"/>
      <c r="V76" s="147"/>
      <c r="W76" s="149">
        <f t="shared" si="21"/>
        <v>0</v>
      </c>
      <c r="X76" s="147">
        <v>3</v>
      </c>
    </row>
    <row r="77" spans="1:24" ht="62.25" customHeight="1" x14ac:dyDescent="0.2">
      <c r="A77" s="144" t="s">
        <v>175</v>
      </c>
      <c r="B77" s="163" t="s">
        <v>180</v>
      </c>
      <c r="C77" s="165" t="s">
        <v>181</v>
      </c>
      <c r="D77" s="116" t="s">
        <v>73</v>
      </c>
      <c r="E77" s="147">
        <v>3</v>
      </c>
      <c r="F77" s="149">
        <f t="shared" ref="F72:F78" si="22">W77</f>
        <v>3</v>
      </c>
      <c r="G77" s="147"/>
      <c r="H77" s="149">
        <f t="shared" si="3"/>
        <v>3</v>
      </c>
      <c r="I77" s="149">
        <f t="shared" si="4"/>
        <v>0</v>
      </c>
      <c r="J77" s="154">
        <f t="shared" si="13"/>
        <v>384.53992</v>
      </c>
      <c r="K77" s="149">
        <f t="shared" si="15"/>
        <v>486.21</v>
      </c>
      <c r="L77" s="159">
        <f t="shared" si="1"/>
        <v>0</v>
      </c>
      <c r="M77" s="159">
        <f t="shared" si="7"/>
        <v>1458.6299999999999</v>
      </c>
      <c r="N77" s="159">
        <f t="shared" si="2"/>
        <v>0</v>
      </c>
      <c r="P77" s="154">
        <v>428.6</v>
      </c>
      <c r="S77" s="147"/>
      <c r="T77" s="147"/>
      <c r="U77" s="147">
        <v>3</v>
      </c>
      <c r="V77" s="147"/>
      <c r="W77" s="149">
        <f t="shared" si="21"/>
        <v>3</v>
      </c>
      <c r="X77" s="147">
        <v>3</v>
      </c>
    </row>
    <row r="78" spans="1:24" x14ac:dyDescent="0.2">
      <c r="A78" s="151">
        <v>10</v>
      </c>
      <c r="B78" s="163"/>
      <c r="C78" s="164" t="s">
        <v>183</v>
      </c>
      <c r="D78" s="116" t="s">
        <v>3</v>
      </c>
      <c r="E78" s="147"/>
      <c r="F78" s="149">
        <f t="shared" si="22"/>
        <v>0</v>
      </c>
      <c r="G78" s="147"/>
      <c r="H78" s="149">
        <f t="shared" si="3"/>
        <v>0</v>
      </c>
      <c r="I78" s="149">
        <f t="shared" si="4"/>
        <v>0</v>
      </c>
      <c r="J78" s="154"/>
      <c r="K78" s="149"/>
      <c r="L78" s="159">
        <f t="shared" ref="L78:L79" si="23">ROUND(K78*G78,2)</f>
        <v>0</v>
      </c>
      <c r="M78" s="159">
        <f t="shared" si="7"/>
        <v>0</v>
      </c>
      <c r="N78" s="159">
        <f t="shared" ref="N78:N79" si="24">ROUND(K78*I78,2)</f>
        <v>0</v>
      </c>
      <c r="P78" s="154"/>
      <c r="S78" s="147"/>
      <c r="T78" s="147"/>
      <c r="U78" s="147"/>
      <c r="V78" s="147"/>
      <c r="W78" s="149">
        <f>SUM(S78:V78)</f>
        <v>0</v>
      </c>
      <c r="X78" s="147"/>
    </row>
    <row r="79" spans="1:24" x14ac:dyDescent="0.2">
      <c r="A79" s="144" t="s">
        <v>182</v>
      </c>
      <c r="B79" s="163" t="s">
        <v>184</v>
      </c>
      <c r="C79" s="165" t="s">
        <v>185</v>
      </c>
      <c r="D79" s="116" t="s">
        <v>24</v>
      </c>
      <c r="E79" s="147">
        <v>510</v>
      </c>
      <c r="F79" s="149">
        <v>0</v>
      </c>
      <c r="G79" s="147">
        <v>510</v>
      </c>
      <c r="H79" s="149">
        <f t="shared" ref="H79" si="25">F79+G79</f>
        <v>510</v>
      </c>
      <c r="I79" s="149">
        <f t="shared" ref="I79" si="26">E79-H79</f>
        <v>0</v>
      </c>
      <c r="J79" s="154">
        <f t="shared" si="13"/>
        <v>6.9263839999999997</v>
      </c>
      <c r="K79" s="149">
        <f t="shared" si="15"/>
        <v>8.76</v>
      </c>
      <c r="L79" s="159">
        <f t="shared" si="23"/>
        <v>4467.6000000000004</v>
      </c>
      <c r="M79" s="159">
        <f t="shared" ref="M79" si="27">K79*H79</f>
        <v>4467.5999999999995</v>
      </c>
      <c r="N79" s="159">
        <f t="shared" si="24"/>
        <v>0</v>
      </c>
      <c r="P79" s="154">
        <v>7.72</v>
      </c>
      <c r="S79" s="147"/>
      <c r="T79" s="147"/>
      <c r="U79" s="147"/>
      <c r="V79" s="147">
        <v>510</v>
      </c>
      <c r="W79" s="149">
        <f>SUM(S79:V79)</f>
        <v>510</v>
      </c>
      <c r="X79" s="147">
        <v>510</v>
      </c>
    </row>
    <row r="85" spans="3:14" x14ac:dyDescent="0.2">
      <c r="C85" s="174"/>
      <c r="D85" s="247"/>
      <c r="E85" s="247"/>
      <c r="F85" s="247"/>
      <c r="G85" s="247"/>
      <c r="H85" s="247"/>
      <c r="I85" s="247"/>
      <c r="J85" s="247"/>
      <c r="K85" s="247"/>
      <c r="L85" s="247"/>
      <c r="M85" s="238"/>
      <c r="N85" s="238"/>
    </row>
    <row r="86" spans="3:14" x14ac:dyDescent="0.2">
      <c r="C86" s="174"/>
      <c r="D86" s="247"/>
      <c r="E86" s="247"/>
      <c r="F86" s="247"/>
      <c r="G86" s="247"/>
      <c r="H86" s="247"/>
      <c r="I86" s="247"/>
      <c r="J86" s="247"/>
      <c r="K86" s="247"/>
      <c r="L86" s="247"/>
      <c r="M86" s="238"/>
      <c r="N86" s="238"/>
    </row>
    <row r="87" spans="3:14" x14ac:dyDescent="0.2">
      <c r="C87" s="175" t="s">
        <v>313</v>
      </c>
    </row>
    <row r="88" spans="3:14" x14ac:dyDescent="0.2">
      <c r="C88" s="176" t="s">
        <v>314</v>
      </c>
    </row>
  </sheetData>
  <mergeCells count="12">
    <mergeCell ref="A2:L2"/>
    <mergeCell ref="P2:P4"/>
    <mergeCell ref="X2:X3"/>
    <mergeCell ref="Y2:Y4"/>
    <mergeCell ref="Z2:Z4"/>
    <mergeCell ref="A3:L3"/>
    <mergeCell ref="A4:L4"/>
    <mergeCell ref="A5:L5"/>
    <mergeCell ref="A6:L6"/>
    <mergeCell ref="B7:C7"/>
    <mergeCell ref="D85:L85"/>
    <mergeCell ref="D86:L86"/>
  </mergeCells>
  <printOptions horizontalCentered="1"/>
  <pageMargins left="0.19685039370078741" right="0.19685039370078741" top="0.39370078740157483" bottom="0.59055118110236227" header="0" footer="0.31496062992125984"/>
  <pageSetup paperSize="9" scale="60" fitToHeight="3" orientation="landscape" r:id="rId1"/>
  <headerFooter>
    <oddFooter>&amp;CAv. Irmã Tosta - Maria José Tosta, 61 - Esplanada - Pouso Alegre/MG    l    CNPJ  23.896.707 / 0001-23   l     Tel : (35) 99908.9053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6"/>
  <sheetViews>
    <sheetView topLeftCell="C4" zoomScale="90" zoomScaleNormal="90" workbookViewId="0">
      <selection activeCell="L13" sqref="L13"/>
    </sheetView>
  </sheetViews>
  <sheetFormatPr defaultRowHeight="12.75" x14ac:dyDescent="0.2"/>
  <cols>
    <col min="1" max="1" width="6.5703125" style="120" customWidth="1"/>
    <col min="2" max="2" width="10.28515625" style="120" customWidth="1"/>
    <col min="3" max="3" width="65" style="120" customWidth="1"/>
    <col min="4" max="4" width="6.5703125" style="120" customWidth="1"/>
    <col min="5" max="14" width="12" style="120" customWidth="1"/>
    <col min="15" max="15" width="9.28515625" style="120" customWidth="1"/>
    <col min="16" max="16" width="12.140625" style="120" hidden="1" customWidth="1"/>
    <col min="17" max="18" width="10.5703125" style="120" bestFit="1" customWidth="1"/>
    <col min="19" max="22" width="13" style="120" customWidth="1"/>
    <col min="23" max="16384" width="9.140625" style="120"/>
  </cols>
  <sheetData>
    <row r="1" spans="1:28" ht="62.25" customHeight="1" x14ac:dyDescent="0.2">
      <c r="A1" s="117"/>
      <c r="B1" s="118"/>
      <c r="C1" s="118"/>
      <c r="D1" s="118"/>
      <c r="E1" s="118"/>
      <c r="F1" s="118"/>
      <c r="G1" s="118"/>
      <c r="H1" s="118"/>
      <c r="I1" s="118"/>
      <c r="J1" s="118"/>
      <c r="K1" s="118"/>
      <c r="L1" s="118"/>
      <c r="M1" s="118"/>
      <c r="N1" s="118"/>
      <c r="O1" s="119"/>
      <c r="P1" s="119"/>
      <c r="S1" s="119"/>
      <c r="T1" s="119"/>
      <c r="U1" s="119"/>
      <c r="V1" s="119"/>
    </row>
    <row r="2" spans="1:28" ht="39.950000000000003" customHeight="1" x14ac:dyDescent="0.2">
      <c r="A2" s="248" t="s">
        <v>323</v>
      </c>
      <c r="B2" s="249"/>
      <c r="C2" s="249"/>
      <c r="D2" s="249"/>
      <c r="E2" s="249"/>
      <c r="F2" s="249"/>
      <c r="G2" s="249"/>
      <c r="H2" s="249"/>
      <c r="I2" s="249"/>
      <c r="J2" s="249"/>
      <c r="K2" s="249"/>
      <c r="L2" s="249"/>
      <c r="M2" s="213"/>
      <c r="N2" s="213"/>
      <c r="O2" s="228"/>
      <c r="P2" s="250"/>
      <c r="Q2" s="228"/>
      <c r="R2" s="228"/>
      <c r="S2" s="228"/>
      <c r="T2" s="229"/>
      <c r="U2" s="229"/>
      <c r="V2" s="250"/>
      <c r="W2" s="250"/>
      <c r="X2" s="250"/>
      <c r="Y2" s="222"/>
      <c r="Z2" s="222"/>
      <c r="AA2" s="222"/>
      <c r="AB2" s="222"/>
    </row>
    <row r="3" spans="1:28" x14ac:dyDescent="0.2">
      <c r="A3" s="251" t="s">
        <v>0</v>
      </c>
      <c r="B3" s="251"/>
      <c r="C3" s="251"/>
      <c r="D3" s="251"/>
      <c r="E3" s="251"/>
      <c r="F3" s="251"/>
      <c r="G3" s="251"/>
      <c r="H3" s="251"/>
      <c r="I3" s="251"/>
      <c r="J3" s="251"/>
      <c r="K3" s="251"/>
      <c r="L3" s="251"/>
      <c r="M3" s="214"/>
      <c r="N3" s="214"/>
      <c r="O3" s="228"/>
      <c r="P3" s="250"/>
      <c r="Q3" s="228"/>
      <c r="R3" s="228"/>
      <c r="S3" s="228"/>
      <c r="T3" s="229"/>
      <c r="U3" s="229"/>
      <c r="V3" s="250"/>
      <c r="W3" s="250"/>
      <c r="X3" s="250"/>
      <c r="Y3" s="222"/>
      <c r="Z3" s="222"/>
      <c r="AA3" s="222"/>
      <c r="AB3" s="222"/>
    </row>
    <row r="4" spans="1:28" x14ac:dyDescent="0.2">
      <c r="A4" s="252" t="s">
        <v>1</v>
      </c>
      <c r="B4" s="252"/>
      <c r="C4" s="252"/>
      <c r="D4" s="252"/>
      <c r="E4" s="252"/>
      <c r="F4" s="252"/>
      <c r="G4" s="252"/>
      <c r="H4" s="252"/>
      <c r="I4" s="252"/>
      <c r="J4" s="252"/>
      <c r="K4" s="252"/>
      <c r="L4" s="252"/>
      <c r="M4" s="215"/>
      <c r="N4" s="215"/>
      <c r="O4" s="228"/>
      <c r="P4" s="250"/>
      <c r="Q4" s="228"/>
      <c r="R4" s="228"/>
      <c r="S4" s="228"/>
      <c r="T4" s="229"/>
      <c r="U4" s="229"/>
      <c r="V4" s="229"/>
      <c r="W4" s="250"/>
      <c r="X4" s="250"/>
      <c r="Y4" s="222"/>
      <c r="Z4" s="222"/>
      <c r="AA4" s="222"/>
      <c r="AB4" s="222"/>
    </row>
    <row r="5" spans="1:28" ht="12.75" customHeight="1" x14ac:dyDescent="0.2">
      <c r="A5" s="244" t="s">
        <v>324</v>
      </c>
      <c r="B5" s="244"/>
      <c r="C5" s="244"/>
      <c r="D5" s="244"/>
      <c r="E5" s="244"/>
      <c r="F5" s="244"/>
      <c r="G5" s="244"/>
      <c r="H5" s="244"/>
      <c r="I5" s="244"/>
      <c r="J5" s="244"/>
      <c r="K5" s="244"/>
      <c r="L5" s="244"/>
      <c r="M5" s="216"/>
      <c r="N5" s="216"/>
    </row>
    <row r="6" spans="1:28" x14ac:dyDescent="0.2">
      <c r="A6" s="245" t="s">
        <v>213</v>
      </c>
      <c r="B6" s="245"/>
      <c r="C6" s="245"/>
      <c r="D6" s="245"/>
      <c r="E6" s="245"/>
      <c r="F6" s="245"/>
      <c r="G6" s="245"/>
      <c r="H6" s="245"/>
      <c r="I6" s="245"/>
      <c r="J6" s="245"/>
      <c r="K6" s="245"/>
      <c r="L6" s="245"/>
      <c r="M6" s="220"/>
      <c r="N6" s="220"/>
    </row>
    <row r="7" spans="1:28" x14ac:dyDescent="0.2">
      <c r="A7" s="121" t="s">
        <v>2</v>
      </c>
      <c r="B7" s="246">
        <v>46128</v>
      </c>
      <c r="C7" s="246"/>
      <c r="D7" s="122"/>
      <c r="E7" s="123"/>
      <c r="F7" s="219"/>
      <c r="G7" s="123"/>
      <c r="H7" s="219"/>
      <c r="I7" s="219"/>
      <c r="J7" s="124"/>
      <c r="K7" s="125"/>
      <c r="L7" s="126" t="s">
        <v>3</v>
      </c>
      <c r="M7" s="221"/>
      <c r="N7" s="221"/>
      <c r="P7" s="124">
        <v>0.8972</v>
      </c>
      <c r="S7" s="123"/>
      <c r="T7" s="123"/>
      <c r="U7" s="219"/>
      <c r="V7" s="123"/>
    </row>
    <row r="8" spans="1:28" x14ac:dyDescent="0.2">
      <c r="A8" s="121"/>
      <c r="B8" s="127"/>
      <c r="C8" s="191" t="s">
        <v>380</v>
      </c>
      <c r="D8" s="128"/>
      <c r="E8" s="129"/>
      <c r="F8" s="129"/>
      <c r="G8" s="129"/>
      <c r="H8" s="129"/>
      <c r="I8" s="129"/>
      <c r="J8" s="124"/>
      <c r="K8" s="130" t="s">
        <v>4</v>
      </c>
      <c r="L8" s="131">
        <v>0.26440000000000002</v>
      </c>
      <c r="M8" s="221"/>
      <c r="N8" s="221"/>
      <c r="P8" s="124"/>
      <c r="S8" s="129"/>
      <c r="T8" s="129"/>
      <c r="U8" s="129"/>
      <c r="V8" s="129"/>
    </row>
    <row r="9" spans="1:28" s="235" customFormat="1" ht="41.25" customHeight="1" x14ac:dyDescent="0.2">
      <c r="A9" s="233" t="s">
        <v>376</v>
      </c>
      <c r="B9" s="234" t="s">
        <v>377</v>
      </c>
      <c r="C9" s="230" t="s">
        <v>378</v>
      </c>
      <c r="D9" s="231" t="s">
        <v>379</v>
      </c>
      <c r="E9" s="217" t="s">
        <v>364</v>
      </c>
      <c r="F9" s="217" t="s">
        <v>365</v>
      </c>
      <c r="G9" s="217" t="s">
        <v>366</v>
      </c>
      <c r="H9" s="217" t="s">
        <v>367</v>
      </c>
      <c r="I9" s="217" t="s">
        <v>368</v>
      </c>
      <c r="J9" s="230" t="s">
        <v>374</v>
      </c>
      <c r="K9" s="230" t="s">
        <v>375</v>
      </c>
      <c r="L9" s="218" t="s">
        <v>369</v>
      </c>
      <c r="M9" s="218" t="s">
        <v>370</v>
      </c>
      <c r="N9" s="218" t="s">
        <v>371</v>
      </c>
      <c r="P9" s="230" t="s">
        <v>10</v>
      </c>
      <c r="S9" s="232" t="s">
        <v>350</v>
      </c>
      <c r="T9" s="217" t="s">
        <v>372</v>
      </c>
      <c r="U9" s="236" t="s">
        <v>373</v>
      </c>
      <c r="V9" s="232" t="s">
        <v>349</v>
      </c>
    </row>
    <row r="10" spans="1:28" x14ac:dyDescent="0.2">
      <c r="A10" s="223"/>
      <c r="B10" s="223"/>
      <c r="C10" s="151" t="s">
        <v>13</v>
      </c>
      <c r="D10" s="224"/>
      <c r="E10" s="225">
        <v>1015112.0900000002</v>
      </c>
      <c r="F10" s="225"/>
      <c r="G10" s="225">
        <v>1015112.0900000002</v>
      </c>
      <c r="H10" s="225"/>
      <c r="I10" s="225"/>
      <c r="J10" s="226"/>
      <c r="K10" s="226"/>
      <c r="L10" s="227">
        <f>SUM(L11:L79)</f>
        <v>42445.39</v>
      </c>
      <c r="M10" s="227">
        <f t="shared" ref="M10" si="0">SUM(M11:M79)</f>
        <v>86657.9041</v>
      </c>
      <c r="N10" s="227">
        <f>SUM(N11:N79)+0.01</f>
        <v>88042.10000000002</v>
      </c>
      <c r="P10" s="142"/>
      <c r="S10" s="141">
        <v>1015112.0900000002</v>
      </c>
      <c r="T10" s="141">
        <v>1015112.0900000002</v>
      </c>
      <c r="U10" s="141"/>
      <c r="V10" s="141">
        <v>1015112.0900000002</v>
      </c>
    </row>
    <row r="11" spans="1:28" ht="15.75" customHeight="1" x14ac:dyDescent="0.2">
      <c r="A11" s="144"/>
      <c r="B11" s="145"/>
      <c r="C11" s="146"/>
      <c r="D11" s="116" t="s">
        <v>3</v>
      </c>
      <c r="E11" s="147"/>
      <c r="F11" s="147"/>
      <c r="G11" s="147"/>
      <c r="H11" s="147"/>
      <c r="I11" s="147"/>
      <c r="J11" s="148"/>
      <c r="K11" s="149"/>
      <c r="L11" s="150"/>
      <c r="M11" s="150"/>
      <c r="N11" s="150"/>
      <c r="P11" s="148"/>
      <c r="S11" s="147"/>
      <c r="T11" s="147"/>
      <c r="U11" s="147"/>
      <c r="V11" s="147"/>
    </row>
    <row r="12" spans="1:28" x14ac:dyDescent="0.2">
      <c r="A12" s="151">
        <v>1</v>
      </c>
      <c r="B12" s="152"/>
      <c r="C12" s="153" t="s">
        <v>14</v>
      </c>
      <c r="D12" s="116" t="s">
        <v>3</v>
      </c>
      <c r="E12" s="147"/>
      <c r="F12" s="147"/>
      <c r="G12" s="147"/>
      <c r="H12" s="147"/>
      <c r="I12" s="147"/>
      <c r="J12" s="154"/>
      <c r="K12" s="149"/>
      <c r="L12" s="150"/>
      <c r="M12" s="150"/>
      <c r="N12" s="150"/>
      <c r="P12" s="154"/>
      <c r="S12" s="147"/>
      <c r="T12" s="147"/>
      <c r="U12" s="147"/>
      <c r="V12" s="147"/>
    </row>
    <row r="13" spans="1:28" ht="77.25" customHeight="1" x14ac:dyDescent="0.2">
      <c r="A13" s="155" t="s">
        <v>15</v>
      </c>
      <c r="B13" s="156" t="s">
        <v>16</v>
      </c>
      <c r="C13" s="157" t="s">
        <v>17</v>
      </c>
      <c r="D13" s="158" t="s">
        <v>18</v>
      </c>
      <c r="E13" s="149">
        <v>1</v>
      </c>
      <c r="F13" s="149">
        <f>U13</f>
        <v>1</v>
      </c>
      <c r="G13" s="149"/>
      <c r="H13" s="149">
        <f>F13+G13</f>
        <v>1</v>
      </c>
      <c r="I13" s="149">
        <f>E13-H13</f>
        <v>0</v>
      </c>
      <c r="J13" s="154">
        <f>P13*$P$7</f>
        <v>1055.3494439999999</v>
      </c>
      <c r="K13" s="149">
        <f>ROUND(J13+(J13*$L$8),2)</f>
        <v>1334.38</v>
      </c>
      <c r="L13" s="159">
        <f>ROUND(K13*G13,2)</f>
        <v>0</v>
      </c>
      <c r="M13" s="159">
        <f>K13*H13</f>
        <v>1334.38</v>
      </c>
      <c r="N13" s="159">
        <f>ROUND(K13*I13,2)</f>
        <v>0</v>
      </c>
      <c r="O13" s="185"/>
      <c r="P13" s="154">
        <v>1176.27</v>
      </c>
      <c r="Q13" s="161"/>
      <c r="R13" s="161"/>
      <c r="S13" s="149">
        <v>1</v>
      </c>
      <c r="T13" s="149"/>
      <c r="U13" s="149">
        <f>SUM(S13:T13)</f>
        <v>1</v>
      </c>
      <c r="V13" s="149">
        <v>1</v>
      </c>
    </row>
    <row r="14" spans="1:28" ht="18.75" customHeight="1" x14ac:dyDescent="0.2">
      <c r="A14" s="151">
        <v>2</v>
      </c>
      <c r="B14" s="163"/>
      <c r="C14" s="164" t="s">
        <v>28</v>
      </c>
      <c r="D14" s="116"/>
      <c r="E14" s="147"/>
      <c r="F14" s="149"/>
      <c r="G14" s="149"/>
      <c r="H14" s="149"/>
      <c r="I14" s="149"/>
      <c r="J14" s="154"/>
      <c r="K14" s="149"/>
      <c r="L14" s="159">
        <f t="shared" ref="L14:L77" si="1">ROUND(K14*G14,2)</f>
        <v>0</v>
      </c>
      <c r="M14" s="159"/>
      <c r="N14" s="159">
        <f t="shared" ref="N14:N77" si="2">ROUND(K14*I14,2)</f>
        <v>0</v>
      </c>
      <c r="P14" s="154"/>
      <c r="S14" s="149"/>
      <c r="T14" s="149"/>
      <c r="U14" s="149">
        <f t="shared" ref="U14:U77" si="3">SUM(S14:T14)</f>
        <v>0</v>
      </c>
      <c r="V14" s="147"/>
    </row>
    <row r="15" spans="1:28" ht="76.5" customHeight="1" x14ac:dyDescent="0.2">
      <c r="A15" s="144" t="s">
        <v>20</v>
      </c>
      <c r="B15" s="163" t="s">
        <v>29</v>
      </c>
      <c r="C15" s="165" t="s">
        <v>30</v>
      </c>
      <c r="D15" s="116" t="s">
        <v>24</v>
      </c>
      <c r="E15" s="147">
        <v>188.56</v>
      </c>
      <c r="F15" s="149">
        <f t="shared" ref="F15:F77" si="4">U15</f>
        <v>188.56</v>
      </c>
      <c r="G15" s="149"/>
      <c r="H15" s="149">
        <f t="shared" ref="H15:H77" si="5">F15+G15</f>
        <v>188.56</v>
      </c>
      <c r="I15" s="149">
        <f t="shared" ref="I15:I77" si="6">E15-H15</f>
        <v>0</v>
      </c>
      <c r="J15" s="154">
        <f t="shared" ref="J15:J19" si="7">P15*$P$7</f>
        <v>15.548475999999999</v>
      </c>
      <c r="K15" s="149">
        <f t="shared" ref="K15:K41" si="8">ROUND(J15+(J15*$L$8),2)</f>
        <v>19.66</v>
      </c>
      <c r="L15" s="159">
        <f t="shared" si="1"/>
        <v>0</v>
      </c>
      <c r="M15" s="159">
        <f t="shared" ref="M15:M77" si="9">K15*H15</f>
        <v>3707.0896000000002</v>
      </c>
      <c r="N15" s="159">
        <f t="shared" si="2"/>
        <v>0</v>
      </c>
      <c r="P15" s="166">
        <v>17.329999999999998</v>
      </c>
      <c r="S15" s="149">
        <f>51.04+137.52</f>
        <v>188.56</v>
      </c>
      <c r="T15" s="149"/>
      <c r="U15" s="149">
        <f t="shared" si="3"/>
        <v>188.56</v>
      </c>
      <c r="V15" s="147">
        <v>188.56</v>
      </c>
    </row>
    <row r="16" spans="1:28" ht="50.25" customHeight="1" x14ac:dyDescent="0.2">
      <c r="A16" s="144" t="s">
        <v>21</v>
      </c>
      <c r="B16" s="163" t="s">
        <v>31</v>
      </c>
      <c r="C16" s="165" t="s">
        <v>32</v>
      </c>
      <c r="D16" s="116" t="s">
        <v>24</v>
      </c>
      <c r="E16" s="147">
        <v>188.56</v>
      </c>
      <c r="F16" s="149">
        <f t="shared" si="4"/>
        <v>188.56</v>
      </c>
      <c r="G16" s="149"/>
      <c r="H16" s="149">
        <f t="shared" si="5"/>
        <v>188.56</v>
      </c>
      <c r="I16" s="149">
        <f t="shared" si="6"/>
        <v>0</v>
      </c>
      <c r="J16" s="154">
        <f t="shared" si="7"/>
        <v>9.2770480000000006</v>
      </c>
      <c r="K16" s="149">
        <f t="shared" si="8"/>
        <v>11.73</v>
      </c>
      <c r="L16" s="159">
        <f t="shared" si="1"/>
        <v>0</v>
      </c>
      <c r="M16" s="159">
        <f t="shared" si="9"/>
        <v>2211.8088000000002</v>
      </c>
      <c r="N16" s="159">
        <f t="shared" si="2"/>
        <v>0</v>
      </c>
      <c r="O16" s="212"/>
      <c r="P16" s="154">
        <v>10.34</v>
      </c>
      <c r="S16" s="149">
        <v>96.99</v>
      </c>
      <c r="T16" s="149">
        <v>91.57</v>
      </c>
      <c r="U16" s="149">
        <f t="shared" si="3"/>
        <v>188.56</v>
      </c>
      <c r="V16" s="147">
        <v>188.56</v>
      </c>
    </row>
    <row r="17" spans="1:23" ht="40.5" customHeight="1" x14ac:dyDescent="0.2">
      <c r="A17" s="144" t="s">
        <v>22</v>
      </c>
      <c r="B17" s="163" t="s">
        <v>33</v>
      </c>
      <c r="C17" s="165" t="s">
        <v>34</v>
      </c>
      <c r="D17" s="116" t="s">
        <v>24</v>
      </c>
      <c r="E17" s="147">
        <f>((1.75+1.8)*2*3.1)+(4.3+3+3+2.45)*2.15+(31.5*1.85)</f>
        <v>107.69750000000001</v>
      </c>
      <c r="F17" s="149">
        <f t="shared" si="4"/>
        <v>105.14</v>
      </c>
      <c r="G17" s="149">
        <v>2.5575000000000001</v>
      </c>
      <c r="H17" s="149">
        <f t="shared" si="5"/>
        <v>107.69750000000001</v>
      </c>
      <c r="I17" s="149">
        <f t="shared" si="6"/>
        <v>0</v>
      </c>
      <c r="J17" s="154">
        <f t="shared" si="7"/>
        <v>58.811459999999997</v>
      </c>
      <c r="K17" s="149">
        <f t="shared" si="8"/>
        <v>74.36</v>
      </c>
      <c r="L17" s="159">
        <f t="shared" si="1"/>
        <v>190.18</v>
      </c>
      <c r="M17" s="159">
        <f t="shared" si="9"/>
        <v>8008.3861000000006</v>
      </c>
      <c r="N17" s="159">
        <f t="shared" si="2"/>
        <v>0</v>
      </c>
      <c r="O17" s="212"/>
      <c r="P17" s="154">
        <v>65.55</v>
      </c>
      <c r="S17" s="149">
        <v>4.9800000000000004</v>
      </c>
      <c r="T17" s="149">
        <f>35.6+64.56</f>
        <v>100.16</v>
      </c>
      <c r="U17" s="149">
        <f t="shared" si="3"/>
        <v>105.14</v>
      </c>
      <c r="V17" s="147">
        <f>((1.75+1.8)*2*3.1)+(4.3+3+3+2.45)*2.15+(31.5*1.85)</f>
        <v>107.69750000000001</v>
      </c>
    </row>
    <row r="18" spans="1:23" ht="51.75" customHeight="1" x14ac:dyDescent="0.2">
      <c r="A18" s="144" t="s">
        <v>23</v>
      </c>
      <c r="B18" s="163" t="s">
        <v>35</v>
      </c>
      <c r="C18" s="165" t="s">
        <v>36</v>
      </c>
      <c r="D18" s="116" t="s">
        <v>19</v>
      </c>
      <c r="E18" s="147">
        <f>((1.75+1.8)*2)+(4.3+3+3+2.45)+60</f>
        <v>79.849999999999994</v>
      </c>
      <c r="F18" s="149">
        <f t="shared" si="4"/>
        <v>79.850000000000009</v>
      </c>
      <c r="G18" s="149"/>
      <c r="H18" s="149">
        <f t="shared" si="5"/>
        <v>79.850000000000009</v>
      </c>
      <c r="I18" s="149">
        <f t="shared" si="6"/>
        <v>0</v>
      </c>
      <c r="J18" s="154">
        <f t="shared" si="7"/>
        <v>19.280828</v>
      </c>
      <c r="K18" s="149">
        <f t="shared" si="8"/>
        <v>24.38</v>
      </c>
      <c r="L18" s="159">
        <f t="shared" si="1"/>
        <v>0</v>
      </c>
      <c r="M18" s="159">
        <f t="shared" si="9"/>
        <v>1946.7430000000002</v>
      </c>
      <c r="N18" s="159">
        <f t="shared" si="2"/>
        <v>0</v>
      </c>
      <c r="O18" s="212"/>
      <c r="P18" s="154">
        <v>21.49</v>
      </c>
      <c r="S18" s="149"/>
      <c r="T18" s="149">
        <f>9.7+70.15</f>
        <v>79.850000000000009</v>
      </c>
      <c r="U18" s="149">
        <f t="shared" si="3"/>
        <v>79.850000000000009</v>
      </c>
      <c r="V18" s="203">
        <v>79.849999999999994</v>
      </c>
      <c r="W18" s="203"/>
    </row>
    <row r="19" spans="1:23" ht="42" customHeight="1" x14ac:dyDescent="0.2">
      <c r="A19" s="144" t="s">
        <v>27</v>
      </c>
      <c r="B19" s="163" t="s">
        <v>37</v>
      </c>
      <c r="C19" s="165" t="s">
        <v>38</v>
      </c>
      <c r="D19" s="116" t="s">
        <v>24</v>
      </c>
      <c r="E19" s="147">
        <v>188.56</v>
      </c>
      <c r="F19" s="149">
        <f t="shared" si="4"/>
        <v>188.56</v>
      </c>
      <c r="G19" s="149"/>
      <c r="H19" s="149">
        <f t="shared" si="5"/>
        <v>188.56</v>
      </c>
      <c r="I19" s="149">
        <f t="shared" si="6"/>
        <v>0</v>
      </c>
      <c r="J19" s="154">
        <f t="shared" si="7"/>
        <v>33.151540000000004</v>
      </c>
      <c r="K19" s="149">
        <f>ROUND(J19+(J19*$L$8),2)</f>
        <v>41.92</v>
      </c>
      <c r="L19" s="159">
        <f t="shared" si="1"/>
        <v>0</v>
      </c>
      <c r="M19" s="159">
        <f t="shared" si="9"/>
        <v>7904.4352000000008</v>
      </c>
      <c r="N19" s="159">
        <f t="shared" si="2"/>
        <v>0</v>
      </c>
      <c r="O19" s="168"/>
      <c r="P19" s="154">
        <v>36.950000000000003</v>
      </c>
      <c r="R19" s="168"/>
      <c r="S19" s="149">
        <v>73.959999999999994</v>
      </c>
      <c r="T19" s="149">
        <v>114.6</v>
      </c>
      <c r="U19" s="149">
        <f t="shared" si="3"/>
        <v>188.56</v>
      </c>
      <c r="V19" s="147">
        <v>188.56</v>
      </c>
      <c r="W19" s="168"/>
    </row>
    <row r="20" spans="1:23" x14ac:dyDescent="0.2">
      <c r="A20" s="151">
        <v>3</v>
      </c>
      <c r="B20" s="163"/>
      <c r="C20" s="164" t="s">
        <v>40</v>
      </c>
      <c r="D20" s="116" t="s">
        <v>3</v>
      </c>
      <c r="E20" s="147"/>
      <c r="F20" s="149"/>
      <c r="G20" s="149"/>
      <c r="H20" s="149"/>
      <c r="I20" s="149"/>
      <c r="J20" s="154"/>
      <c r="K20" s="149"/>
      <c r="L20" s="159"/>
      <c r="M20" s="159"/>
      <c r="N20" s="159"/>
      <c r="P20" s="154"/>
      <c r="S20" s="149"/>
      <c r="T20" s="149"/>
      <c r="U20" s="149">
        <f t="shared" si="3"/>
        <v>0</v>
      </c>
      <c r="V20" s="147"/>
    </row>
    <row r="21" spans="1:23" ht="61.5" customHeight="1" x14ac:dyDescent="0.2">
      <c r="A21" s="144" t="s">
        <v>41</v>
      </c>
      <c r="B21" s="163" t="s">
        <v>39</v>
      </c>
      <c r="C21" s="165" t="s">
        <v>42</v>
      </c>
      <c r="D21" s="116" t="s">
        <v>25</v>
      </c>
      <c r="E21" s="147">
        <v>216</v>
      </c>
      <c r="F21" s="149">
        <f t="shared" si="4"/>
        <v>0</v>
      </c>
      <c r="G21" s="147">
        <v>216</v>
      </c>
      <c r="H21" s="149">
        <f t="shared" si="5"/>
        <v>216</v>
      </c>
      <c r="I21" s="149">
        <f t="shared" si="6"/>
        <v>0</v>
      </c>
      <c r="J21" s="154">
        <f t="shared" ref="J21:J25" si="10">P21*$P$7</f>
        <v>19.191108</v>
      </c>
      <c r="K21" s="149">
        <f t="shared" si="8"/>
        <v>24.27</v>
      </c>
      <c r="L21" s="159">
        <f t="shared" si="1"/>
        <v>5242.32</v>
      </c>
      <c r="M21" s="159">
        <f t="shared" si="9"/>
        <v>5242.32</v>
      </c>
      <c r="N21" s="159">
        <f t="shared" si="2"/>
        <v>0</v>
      </c>
      <c r="P21" s="154">
        <v>21.39</v>
      </c>
      <c r="Q21" s="168"/>
      <c r="S21" s="149"/>
      <c r="T21" s="149"/>
      <c r="U21" s="149">
        <f t="shared" si="3"/>
        <v>0</v>
      </c>
      <c r="V21" s="147">
        <v>216</v>
      </c>
    </row>
    <row r="22" spans="1:23" ht="63" customHeight="1" x14ac:dyDescent="0.2">
      <c r="A22" s="144" t="s">
        <v>43</v>
      </c>
      <c r="B22" s="163" t="s">
        <v>44</v>
      </c>
      <c r="C22" s="165" t="s">
        <v>45</v>
      </c>
      <c r="D22" s="116" t="s">
        <v>26</v>
      </c>
      <c r="E22" s="147">
        <v>19.600000000000001</v>
      </c>
      <c r="F22" s="149">
        <f t="shared" si="4"/>
        <v>0</v>
      </c>
      <c r="G22" s="147">
        <v>19.600000000000001</v>
      </c>
      <c r="H22" s="149">
        <f t="shared" si="5"/>
        <v>19.600000000000001</v>
      </c>
      <c r="I22" s="149">
        <f t="shared" si="6"/>
        <v>0</v>
      </c>
      <c r="J22" s="154">
        <f t="shared" si="10"/>
        <v>282.600056</v>
      </c>
      <c r="K22" s="149">
        <f t="shared" si="8"/>
        <v>357.32</v>
      </c>
      <c r="L22" s="159">
        <f t="shared" si="1"/>
        <v>7003.47</v>
      </c>
      <c r="M22" s="159">
        <f t="shared" si="9"/>
        <v>7003.4720000000007</v>
      </c>
      <c r="N22" s="159">
        <f t="shared" si="2"/>
        <v>0</v>
      </c>
      <c r="P22" s="154">
        <v>314.98</v>
      </c>
      <c r="S22" s="149"/>
      <c r="T22" s="149"/>
      <c r="U22" s="149">
        <f t="shared" si="3"/>
        <v>0</v>
      </c>
      <c r="V22" s="147">
        <v>19.600000000000001</v>
      </c>
      <c r="W22" s="168"/>
    </row>
    <row r="23" spans="1:23" ht="48.75" customHeight="1" x14ac:dyDescent="0.2">
      <c r="A23" s="144" t="s">
        <v>50</v>
      </c>
      <c r="B23" s="163" t="s">
        <v>46</v>
      </c>
      <c r="C23" s="165" t="s">
        <v>47</v>
      </c>
      <c r="D23" s="116" t="s">
        <v>24</v>
      </c>
      <c r="E23" s="147">
        <v>19.600000000000001</v>
      </c>
      <c r="F23" s="149">
        <f t="shared" si="4"/>
        <v>0</v>
      </c>
      <c r="G23" s="147">
        <v>19.600000000000001</v>
      </c>
      <c r="H23" s="149">
        <f t="shared" si="5"/>
        <v>19.600000000000001</v>
      </c>
      <c r="I23" s="149">
        <f t="shared" si="6"/>
        <v>0</v>
      </c>
      <c r="J23" s="154">
        <f t="shared" si="10"/>
        <v>96.359279999999998</v>
      </c>
      <c r="K23" s="149">
        <f t="shared" si="8"/>
        <v>121.84</v>
      </c>
      <c r="L23" s="159">
        <f t="shared" si="1"/>
        <v>2388.06</v>
      </c>
      <c r="M23" s="159">
        <f t="shared" si="9"/>
        <v>2388.0640000000003</v>
      </c>
      <c r="N23" s="159">
        <f t="shared" si="2"/>
        <v>0</v>
      </c>
      <c r="P23" s="154">
        <v>107.4</v>
      </c>
      <c r="S23" s="149"/>
      <c r="T23" s="149"/>
      <c r="U23" s="149">
        <f t="shared" si="3"/>
        <v>0</v>
      </c>
      <c r="V23" s="147">
        <v>19.600000000000001</v>
      </c>
      <c r="W23" s="168"/>
    </row>
    <row r="24" spans="1:23" ht="42.75" customHeight="1" x14ac:dyDescent="0.2">
      <c r="A24" s="144" t="s">
        <v>53</v>
      </c>
      <c r="B24" s="163" t="s">
        <v>48</v>
      </c>
      <c r="C24" s="165" t="s">
        <v>49</v>
      </c>
      <c r="D24" s="116" t="s">
        <v>19</v>
      </c>
      <c r="E24" s="147">
        <v>5.75</v>
      </c>
      <c r="F24" s="149">
        <f t="shared" si="4"/>
        <v>0</v>
      </c>
      <c r="G24" s="147">
        <v>5.75</v>
      </c>
      <c r="H24" s="149">
        <f t="shared" si="5"/>
        <v>5.75</v>
      </c>
      <c r="I24" s="149">
        <f t="shared" si="6"/>
        <v>0</v>
      </c>
      <c r="J24" s="154">
        <f t="shared" si="10"/>
        <v>42.285036000000005</v>
      </c>
      <c r="K24" s="149">
        <f t="shared" si="8"/>
        <v>53.47</v>
      </c>
      <c r="L24" s="159">
        <f t="shared" si="1"/>
        <v>307.45</v>
      </c>
      <c r="M24" s="159">
        <f t="shared" si="9"/>
        <v>307.45249999999999</v>
      </c>
      <c r="N24" s="159">
        <f t="shared" si="2"/>
        <v>0</v>
      </c>
      <c r="O24" s="168"/>
      <c r="P24" s="154">
        <v>47.13</v>
      </c>
      <c r="S24" s="149"/>
      <c r="T24" s="149"/>
      <c r="U24" s="149">
        <f t="shared" si="3"/>
        <v>0</v>
      </c>
      <c r="V24" s="147">
        <v>5.75</v>
      </c>
      <c r="W24" s="168"/>
    </row>
    <row r="25" spans="1:23" ht="39" customHeight="1" x14ac:dyDescent="0.2">
      <c r="A25" s="144" t="s">
        <v>194</v>
      </c>
      <c r="B25" s="163" t="s">
        <v>51</v>
      </c>
      <c r="C25" s="165" t="s">
        <v>52</v>
      </c>
      <c r="D25" s="116" t="s">
        <v>19</v>
      </c>
      <c r="E25" s="147">
        <v>5.75</v>
      </c>
      <c r="F25" s="149">
        <f t="shared" si="4"/>
        <v>0</v>
      </c>
      <c r="G25" s="147">
        <v>5.75</v>
      </c>
      <c r="H25" s="149">
        <f t="shared" si="5"/>
        <v>5.75</v>
      </c>
      <c r="I25" s="149">
        <f t="shared" si="6"/>
        <v>0</v>
      </c>
      <c r="J25" s="154">
        <f t="shared" si="10"/>
        <v>51.624887999999999</v>
      </c>
      <c r="K25" s="149">
        <f t="shared" si="8"/>
        <v>65.27</v>
      </c>
      <c r="L25" s="159">
        <f t="shared" si="1"/>
        <v>375.3</v>
      </c>
      <c r="M25" s="159">
        <f t="shared" si="9"/>
        <v>375.30249999999995</v>
      </c>
      <c r="N25" s="159">
        <f t="shared" si="2"/>
        <v>0</v>
      </c>
      <c r="P25" s="154">
        <v>57.54</v>
      </c>
      <c r="S25" s="149"/>
      <c r="T25" s="149"/>
      <c r="U25" s="149">
        <f t="shared" si="3"/>
        <v>0</v>
      </c>
      <c r="V25" s="147">
        <v>5.75</v>
      </c>
    </row>
    <row r="26" spans="1:23" ht="41.25" customHeight="1" x14ac:dyDescent="0.2">
      <c r="A26" s="144" t="s">
        <v>200</v>
      </c>
      <c r="B26" s="163" t="s">
        <v>54</v>
      </c>
      <c r="C26" s="165" t="s">
        <v>55</v>
      </c>
      <c r="D26" s="116" t="s">
        <v>19</v>
      </c>
      <c r="E26" s="147">
        <v>6</v>
      </c>
      <c r="F26" s="149">
        <f t="shared" si="4"/>
        <v>0</v>
      </c>
      <c r="G26" s="147">
        <v>6</v>
      </c>
      <c r="H26" s="149">
        <f t="shared" si="5"/>
        <v>6</v>
      </c>
      <c r="I26" s="149">
        <f t="shared" si="6"/>
        <v>0</v>
      </c>
      <c r="J26" s="154">
        <f>P26*$P$7</f>
        <v>76.899011999999999</v>
      </c>
      <c r="K26" s="149">
        <f t="shared" si="8"/>
        <v>97.23</v>
      </c>
      <c r="L26" s="159">
        <f t="shared" si="1"/>
        <v>583.38</v>
      </c>
      <c r="M26" s="159">
        <f t="shared" si="9"/>
        <v>583.38</v>
      </c>
      <c r="N26" s="159">
        <f t="shared" si="2"/>
        <v>0</v>
      </c>
      <c r="P26" s="154">
        <v>85.71</v>
      </c>
      <c r="S26" s="149"/>
      <c r="T26" s="149"/>
      <c r="U26" s="149">
        <f t="shared" si="3"/>
        <v>0</v>
      </c>
      <c r="V26" s="147">
        <v>6</v>
      </c>
    </row>
    <row r="27" spans="1:23" x14ac:dyDescent="0.2">
      <c r="A27" s="151">
        <v>4</v>
      </c>
      <c r="B27" s="163"/>
      <c r="C27" s="164" t="s">
        <v>56</v>
      </c>
      <c r="D27" s="116" t="s">
        <v>3</v>
      </c>
      <c r="E27" s="147"/>
      <c r="F27" s="149"/>
      <c r="G27" s="149"/>
      <c r="H27" s="149"/>
      <c r="I27" s="149"/>
      <c r="J27" s="154"/>
      <c r="K27" s="149"/>
      <c r="L27" s="159"/>
      <c r="M27" s="159"/>
      <c r="N27" s="159"/>
      <c r="P27" s="154"/>
      <c r="S27" s="149"/>
      <c r="T27" s="149"/>
      <c r="U27" s="149">
        <f t="shared" si="3"/>
        <v>0</v>
      </c>
      <c r="V27" s="147"/>
    </row>
    <row r="28" spans="1:23" ht="63.75" customHeight="1" x14ac:dyDescent="0.2">
      <c r="A28" s="144" t="s">
        <v>60</v>
      </c>
      <c r="B28" s="163" t="s">
        <v>57</v>
      </c>
      <c r="C28" s="165" t="s">
        <v>58</v>
      </c>
      <c r="D28" s="116" t="s">
        <v>59</v>
      </c>
      <c r="E28" s="147">
        <v>6</v>
      </c>
      <c r="F28" s="149">
        <f t="shared" si="4"/>
        <v>6</v>
      </c>
      <c r="G28" s="149"/>
      <c r="H28" s="149">
        <f t="shared" si="5"/>
        <v>6</v>
      </c>
      <c r="I28" s="149">
        <f t="shared" si="6"/>
        <v>0</v>
      </c>
      <c r="J28" s="154">
        <f t="shared" ref="J28:J79" si="11">P28*$P$7</f>
        <v>40.158671999999996</v>
      </c>
      <c r="K28" s="149">
        <f t="shared" si="8"/>
        <v>50.78</v>
      </c>
      <c r="L28" s="159">
        <f t="shared" si="1"/>
        <v>0</v>
      </c>
      <c r="M28" s="159">
        <f t="shared" si="9"/>
        <v>304.68</v>
      </c>
      <c r="N28" s="159">
        <f t="shared" si="2"/>
        <v>0</v>
      </c>
      <c r="P28" s="154">
        <v>44.76</v>
      </c>
      <c r="S28" s="149">
        <v>6</v>
      </c>
      <c r="T28" s="149"/>
      <c r="U28" s="149">
        <f t="shared" si="3"/>
        <v>6</v>
      </c>
      <c r="V28" s="147">
        <v>6</v>
      </c>
    </row>
    <row r="29" spans="1:23" ht="84" customHeight="1" x14ac:dyDescent="0.2">
      <c r="A29" s="144" t="s">
        <v>64</v>
      </c>
      <c r="B29" s="169" t="s">
        <v>61</v>
      </c>
      <c r="C29" s="165" t="s">
        <v>62</v>
      </c>
      <c r="D29" s="116" t="s">
        <v>63</v>
      </c>
      <c r="E29" s="147">
        <v>3</v>
      </c>
      <c r="F29" s="149">
        <f t="shared" si="4"/>
        <v>3</v>
      </c>
      <c r="G29" s="149"/>
      <c r="H29" s="149">
        <f t="shared" si="5"/>
        <v>3</v>
      </c>
      <c r="I29" s="149">
        <f t="shared" si="6"/>
        <v>0</v>
      </c>
      <c r="J29" s="154">
        <f t="shared" si="11"/>
        <v>149.42866000000001</v>
      </c>
      <c r="K29" s="149">
        <f>ROUND(J29+(J29*$L$8),2)</f>
        <v>188.94</v>
      </c>
      <c r="L29" s="159">
        <f t="shared" si="1"/>
        <v>0</v>
      </c>
      <c r="M29" s="159">
        <f t="shared" si="9"/>
        <v>566.81999999999994</v>
      </c>
      <c r="N29" s="159">
        <f t="shared" si="2"/>
        <v>0</v>
      </c>
      <c r="P29" s="154">
        <v>166.55</v>
      </c>
      <c r="Q29" s="168"/>
      <c r="R29" s="168"/>
      <c r="S29" s="149"/>
      <c r="T29" s="149">
        <v>3</v>
      </c>
      <c r="U29" s="149">
        <f t="shared" si="3"/>
        <v>3</v>
      </c>
      <c r="V29" s="147">
        <v>3</v>
      </c>
    </row>
    <row r="30" spans="1:23" ht="59.25" customHeight="1" x14ac:dyDescent="0.2">
      <c r="A30" s="144" t="s">
        <v>67</v>
      </c>
      <c r="B30" s="163" t="s">
        <v>65</v>
      </c>
      <c r="C30" s="165" t="s">
        <v>66</v>
      </c>
      <c r="D30" s="116" t="s">
        <v>63</v>
      </c>
      <c r="E30" s="147">
        <v>3</v>
      </c>
      <c r="F30" s="149">
        <f t="shared" si="4"/>
        <v>3</v>
      </c>
      <c r="G30" s="149"/>
      <c r="H30" s="149">
        <f t="shared" si="5"/>
        <v>3</v>
      </c>
      <c r="I30" s="149">
        <f t="shared" si="6"/>
        <v>0</v>
      </c>
      <c r="J30" s="154">
        <f t="shared" si="11"/>
        <v>274.49833999999998</v>
      </c>
      <c r="K30" s="149">
        <f t="shared" si="8"/>
        <v>347.08</v>
      </c>
      <c r="L30" s="159">
        <f t="shared" si="1"/>
        <v>0</v>
      </c>
      <c r="M30" s="159">
        <f t="shared" si="9"/>
        <v>1041.24</v>
      </c>
      <c r="N30" s="159">
        <f t="shared" si="2"/>
        <v>0</v>
      </c>
      <c r="P30" s="154">
        <v>305.95</v>
      </c>
      <c r="S30" s="149"/>
      <c r="T30" s="149">
        <v>3</v>
      </c>
      <c r="U30" s="149">
        <f t="shared" si="3"/>
        <v>3</v>
      </c>
      <c r="V30" s="147">
        <v>3</v>
      </c>
    </row>
    <row r="31" spans="1:23" ht="76.5" x14ac:dyDescent="0.2">
      <c r="A31" s="144" t="s">
        <v>70</v>
      </c>
      <c r="B31" s="163" t="s">
        <v>68</v>
      </c>
      <c r="C31" s="165" t="s">
        <v>69</v>
      </c>
      <c r="D31" s="116" t="s">
        <v>63</v>
      </c>
      <c r="E31" s="147">
        <v>4</v>
      </c>
      <c r="F31" s="149">
        <f t="shared" si="4"/>
        <v>4</v>
      </c>
      <c r="G31" s="149"/>
      <c r="H31" s="149">
        <f t="shared" si="5"/>
        <v>4</v>
      </c>
      <c r="I31" s="149">
        <f t="shared" si="6"/>
        <v>0</v>
      </c>
      <c r="J31" s="154">
        <f t="shared" si="11"/>
        <v>196.71109999999999</v>
      </c>
      <c r="K31" s="149">
        <f t="shared" si="8"/>
        <v>248.72</v>
      </c>
      <c r="L31" s="159">
        <f t="shared" si="1"/>
        <v>0</v>
      </c>
      <c r="M31" s="159">
        <f t="shared" si="9"/>
        <v>994.88</v>
      </c>
      <c r="N31" s="159">
        <f t="shared" si="2"/>
        <v>0</v>
      </c>
      <c r="P31" s="154">
        <v>219.25</v>
      </c>
      <c r="Q31" s="168"/>
      <c r="S31" s="149"/>
      <c r="T31" s="149">
        <v>4</v>
      </c>
      <c r="U31" s="149">
        <f t="shared" si="3"/>
        <v>4</v>
      </c>
      <c r="V31" s="147">
        <v>4</v>
      </c>
    </row>
    <row r="32" spans="1:23" ht="25.5" x14ac:dyDescent="0.2">
      <c r="A32" s="144" t="s">
        <v>74</v>
      </c>
      <c r="B32" s="163" t="s">
        <v>71</v>
      </c>
      <c r="C32" s="165" t="s">
        <v>72</v>
      </c>
      <c r="D32" s="116" t="s">
        <v>73</v>
      </c>
      <c r="E32" s="147">
        <v>4</v>
      </c>
      <c r="F32" s="149">
        <f t="shared" si="4"/>
        <v>4</v>
      </c>
      <c r="G32" s="149"/>
      <c r="H32" s="149">
        <f t="shared" si="5"/>
        <v>4</v>
      </c>
      <c r="I32" s="149">
        <f t="shared" si="6"/>
        <v>0</v>
      </c>
      <c r="J32" s="154">
        <f t="shared" si="11"/>
        <v>61.512032000000005</v>
      </c>
      <c r="K32" s="149">
        <f t="shared" si="8"/>
        <v>77.78</v>
      </c>
      <c r="L32" s="159">
        <f t="shared" si="1"/>
        <v>0</v>
      </c>
      <c r="M32" s="159">
        <f t="shared" si="9"/>
        <v>311.12</v>
      </c>
      <c r="N32" s="159">
        <f t="shared" si="2"/>
        <v>0</v>
      </c>
      <c r="P32" s="154">
        <v>68.56</v>
      </c>
      <c r="Q32" s="168"/>
      <c r="S32" s="149"/>
      <c r="T32" s="149">
        <v>4</v>
      </c>
      <c r="U32" s="149">
        <f t="shared" si="3"/>
        <v>4</v>
      </c>
      <c r="V32" s="147">
        <v>4</v>
      </c>
    </row>
    <row r="33" spans="1:22" ht="63.75" x14ac:dyDescent="0.2">
      <c r="A33" s="144" t="s">
        <v>76</v>
      </c>
      <c r="B33" s="169" t="s">
        <v>75</v>
      </c>
      <c r="C33" s="165" t="s">
        <v>195</v>
      </c>
      <c r="D33" s="116" t="s">
        <v>73</v>
      </c>
      <c r="E33" s="147">
        <v>6</v>
      </c>
      <c r="F33" s="149">
        <f t="shared" si="4"/>
        <v>6</v>
      </c>
      <c r="G33" s="149"/>
      <c r="H33" s="149">
        <f t="shared" si="5"/>
        <v>6</v>
      </c>
      <c r="I33" s="149">
        <f t="shared" si="6"/>
        <v>0</v>
      </c>
      <c r="J33" s="154">
        <f t="shared" si="11"/>
        <v>123.63416000000001</v>
      </c>
      <c r="K33" s="149">
        <f t="shared" si="8"/>
        <v>156.32</v>
      </c>
      <c r="L33" s="159">
        <f t="shared" si="1"/>
        <v>0</v>
      </c>
      <c r="M33" s="159">
        <f t="shared" si="9"/>
        <v>937.92</v>
      </c>
      <c r="N33" s="159">
        <f t="shared" si="2"/>
        <v>0</v>
      </c>
      <c r="P33" s="154">
        <v>137.80000000000001</v>
      </c>
      <c r="S33" s="149"/>
      <c r="T33" s="149">
        <v>6</v>
      </c>
      <c r="U33" s="149">
        <f t="shared" si="3"/>
        <v>6</v>
      </c>
      <c r="V33" s="147">
        <v>6</v>
      </c>
    </row>
    <row r="34" spans="1:22" ht="51" x14ac:dyDescent="0.2">
      <c r="A34" s="144" t="s">
        <v>201</v>
      </c>
      <c r="B34" s="163" t="s">
        <v>77</v>
      </c>
      <c r="C34" s="165" t="s">
        <v>78</v>
      </c>
      <c r="D34" s="116" t="s">
        <v>73</v>
      </c>
      <c r="E34" s="147">
        <v>1</v>
      </c>
      <c r="F34" s="149">
        <f t="shared" si="4"/>
        <v>1</v>
      </c>
      <c r="G34" s="149"/>
      <c r="H34" s="149">
        <f t="shared" si="5"/>
        <v>1</v>
      </c>
      <c r="I34" s="149">
        <f t="shared" si="6"/>
        <v>0</v>
      </c>
      <c r="J34" s="154">
        <f t="shared" si="11"/>
        <v>800.02426800000001</v>
      </c>
      <c r="K34" s="149">
        <f t="shared" si="8"/>
        <v>1011.55</v>
      </c>
      <c r="L34" s="159">
        <f t="shared" si="1"/>
        <v>0</v>
      </c>
      <c r="M34" s="159">
        <f t="shared" si="9"/>
        <v>1011.55</v>
      </c>
      <c r="N34" s="159">
        <f t="shared" si="2"/>
        <v>0</v>
      </c>
      <c r="P34" s="154">
        <v>891.69</v>
      </c>
      <c r="S34" s="149"/>
      <c r="T34" s="149">
        <v>1</v>
      </c>
      <c r="U34" s="149">
        <f t="shared" si="3"/>
        <v>1</v>
      </c>
      <c r="V34" s="147">
        <v>1</v>
      </c>
    </row>
    <row r="35" spans="1:22" ht="21.75" customHeight="1" x14ac:dyDescent="0.2">
      <c r="A35" s="144" t="s">
        <v>202</v>
      </c>
      <c r="B35" s="163" t="s">
        <v>79</v>
      </c>
      <c r="C35" s="165" t="s">
        <v>80</v>
      </c>
      <c r="D35" s="116" t="s">
        <v>73</v>
      </c>
      <c r="E35" s="147">
        <v>4</v>
      </c>
      <c r="F35" s="149">
        <f t="shared" si="4"/>
        <v>4</v>
      </c>
      <c r="G35" s="149"/>
      <c r="H35" s="149">
        <f t="shared" si="5"/>
        <v>4</v>
      </c>
      <c r="I35" s="149">
        <f t="shared" si="6"/>
        <v>0</v>
      </c>
      <c r="J35" s="154">
        <f t="shared" si="11"/>
        <v>18.177272000000002</v>
      </c>
      <c r="K35" s="149">
        <f t="shared" si="8"/>
        <v>22.98</v>
      </c>
      <c r="L35" s="159">
        <f t="shared" si="1"/>
        <v>0</v>
      </c>
      <c r="M35" s="159">
        <f t="shared" si="9"/>
        <v>91.92</v>
      </c>
      <c r="N35" s="159">
        <f t="shared" si="2"/>
        <v>0</v>
      </c>
      <c r="P35" s="154">
        <v>20.260000000000002</v>
      </c>
      <c r="S35" s="149"/>
      <c r="T35" s="149">
        <v>4</v>
      </c>
      <c r="U35" s="149">
        <f t="shared" si="3"/>
        <v>4</v>
      </c>
      <c r="V35" s="147">
        <v>4</v>
      </c>
    </row>
    <row r="36" spans="1:22" ht="25.5" x14ac:dyDescent="0.2">
      <c r="A36" s="144" t="s">
        <v>203</v>
      </c>
      <c r="B36" s="163" t="s">
        <v>81</v>
      </c>
      <c r="C36" s="165" t="s">
        <v>82</v>
      </c>
      <c r="D36" s="116" t="s">
        <v>73</v>
      </c>
      <c r="E36" s="147">
        <v>4</v>
      </c>
      <c r="F36" s="149">
        <f t="shared" si="4"/>
        <v>4</v>
      </c>
      <c r="G36" s="149"/>
      <c r="H36" s="149">
        <f t="shared" si="5"/>
        <v>4</v>
      </c>
      <c r="I36" s="149">
        <f t="shared" si="6"/>
        <v>0</v>
      </c>
      <c r="J36" s="154">
        <f t="shared" si="11"/>
        <v>51.983767999999998</v>
      </c>
      <c r="K36" s="149">
        <f t="shared" si="8"/>
        <v>65.73</v>
      </c>
      <c r="L36" s="159">
        <f t="shared" si="1"/>
        <v>0</v>
      </c>
      <c r="M36" s="159">
        <f t="shared" si="9"/>
        <v>262.92</v>
      </c>
      <c r="N36" s="159">
        <f t="shared" si="2"/>
        <v>0</v>
      </c>
      <c r="P36" s="154">
        <v>57.94</v>
      </c>
      <c r="S36" s="149"/>
      <c r="T36" s="149">
        <v>4</v>
      </c>
      <c r="U36" s="149">
        <f t="shared" si="3"/>
        <v>4</v>
      </c>
      <c r="V36" s="147">
        <v>4</v>
      </c>
    </row>
    <row r="37" spans="1:22" ht="38.25" x14ac:dyDescent="0.2">
      <c r="A37" s="144" t="s">
        <v>204</v>
      </c>
      <c r="B37" s="163" t="s">
        <v>83</v>
      </c>
      <c r="C37" s="165" t="s">
        <v>84</v>
      </c>
      <c r="D37" s="116" t="s">
        <v>73</v>
      </c>
      <c r="E37" s="147">
        <v>4</v>
      </c>
      <c r="F37" s="149">
        <f t="shared" si="4"/>
        <v>4</v>
      </c>
      <c r="G37" s="149"/>
      <c r="H37" s="149">
        <f t="shared" si="5"/>
        <v>4</v>
      </c>
      <c r="I37" s="149">
        <f t="shared" si="6"/>
        <v>0</v>
      </c>
      <c r="J37" s="154">
        <f t="shared" si="11"/>
        <v>92.285991999999993</v>
      </c>
      <c r="K37" s="149">
        <f t="shared" si="8"/>
        <v>116.69</v>
      </c>
      <c r="L37" s="159">
        <f t="shared" si="1"/>
        <v>0</v>
      </c>
      <c r="M37" s="159">
        <f t="shared" si="9"/>
        <v>466.76</v>
      </c>
      <c r="N37" s="159">
        <f t="shared" si="2"/>
        <v>0</v>
      </c>
      <c r="P37" s="154">
        <v>102.86</v>
      </c>
      <c r="S37" s="149"/>
      <c r="T37" s="149">
        <v>4</v>
      </c>
      <c r="U37" s="149">
        <f t="shared" si="3"/>
        <v>4</v>
      </c>
      <c r="V37" s="147">
        <v>4</v>
      </c>
    </row>
    <row r="38" spans="1:22" ht="38.25" x14ac:dyDescent="0.2">
      <c r="A38" s="144" t="s">
        <v>205</v>
      </c>
      <c r="B38" s="163" t="s">
        <v>85</v>
      </c>
      <c r="C38" s="165" t="s">
        <v>86</v>
      </c>
      <c r="D38" s="116" t="s">
        <v>19</v>
      </c>
      <c r="E38" s="147">
        <v>18</v>
      </c>
      <c r="F38" s="149">
        <f t="shared" si="4"/>
        <v>18</v>
      </c>
      <c r="G38" s="149"/>
      <c r="H38" s="149">
        <f t="shared" si="5"/>
        <v>18</v>
      </c>
      <c r="I38" s="149">
        <f t="shared" si="6"/>
        <v>0</v>
      </c>
      <c r="J38" s="154">
        <f t="shared" si="11"/>
        <v>36.704451999999996</v>
      </c>
      <c r="K38" s="149">
        <f t="shared" si="8"/>
        <v>46.41</v>
      </c>
      <c r="L38" s="159">
        <f t="shared" si="1"/>
        <v>0</v>
      </c>
      <c r="M38" s="159">
        <f t="shared" si="9"/>
        <v>835.37999999999988</v>
      </c>
      <c r="N38" s="159">
        <f t="shared" si="2"/>
        <v>0</v>
      </c>
      <c r="O38" s="170"/>
      <c r="P38" s="154">
        <v>40.909999999999997</v>
      </c>
      <c r="S38" s="149"/>
      <c r="T38" s="149">
        <v>18</v>
      </c>
      <c r="U38" s="149">
        <f t="shared" si="3"/>
        <v>18</v>
      </c>
      <c r="V38" s="147">
        <v>18</v>
      </c>
    </row>
    <row r="39" spans="1:22" ht="40.5" customHeight="1" x14ac:dyDescent="0.2">
      <c r="A39" s="144" t="s">
        <v>206</v>
      </c>
      <c r="B39" s="163" t="s">
        <v>87</v>
      </c>
      <c r="C39" s="165" t="s">
        <v>88</v>
      </c>
      <c r="D39" s="116" t="s">
        <v>19</v>
      </c>
      <c r="E39" s="147">
        <v>36</v>
      </c>
      <c r="F39" s="149">
        <f t="shared" si="4"/>
        <v>36</v>
      </c>
      <c r="G39" s="149"/>
      <c r="H39" s="149">
        <f t="shared" si="5"/>
        <v>36</v>
      </c>
      <c r="I39" s="149">
        <f t="shared" si="6"/>
        <v>0</v>
      </c>
      <c r="J39" s="154">
        <f t="shared" si="11"/>
        <v>118.81619600000001</v>
      </c>
      <c r="K39" s="149">
        <f t="shared" si="8"/>
        <v>150.22999999999999</v>
      </c>
      <c r="L39" s="159">
        <f t="shared" si="1"/>
        <v>0</v>
      </c>
      <c r="M39" s="159">
        <f t="shared" si="9"/>
        <v>5408.28</v>
      </c>
      <c r="N39" s="159">
        <f t="shared" si="2"/>
        <v>0</v>
      </c>
      <c r="O39" s="170"/>
      <c r="P39" s="154">
        <v>132.43</v>
      </c>
      <c r="S39" s="149"/>
      <c r="T39" s="149">
        <v>36</v>
      </c>
      <c r="U39" s="149">
        <f t="shared" si="3"/>
        <v>36</v>
      </c>
      <c r="V39" s="147">
        <v>36</v>
      </c>
    </row>
    <row r="40" spans="1:22" ht="25.5" customHeight="1" x14ac:dyDescent="0.2">
      <c r="A40" s="144" t="s">
        <v>207</v>
      </c>
      <c r="B40" s="163" t="s">
        <v>89</v>
      </c>
      <c r="C40" s="165" t="s">
        <v>90</v>
      </c>
      <c r="D40" s="116" t="s">
        <v>19</v>
      </c>
      <c r="E40" s="147">
        <v>18</v>
      </c>
      <c r="F40" s="149">
        <f t="shared" si="4"/>
        <v>18</v>
      </c>
      <c r="G40" s="149"/>
      <c r="H40" s="149">
        <f t="shared" si="5"/>
        <v>18</v>
      </c>
      <c r="I40" s="149">
        <f t="shared" si="6"/>
        <v>0</v>
      </c>
      <c r="J40" s="154">
        <f t="shared" si="11"/>
        <v>18.957836</v>
      </c>
      <c r="K40" s="149">
        <f t="shared" si="8"/>
        <v>23.97</v>
      </c>
      <c r="L40" s="159">
        <f t="shared" si="1"/>
        <v>0</v>
      </c>
      <c r="M40" s="159">
        <f t="shared" si="9"/>
        <v>431.46</v>
      </c>
      <c r="N40" s="159">
        <f t="shared" si="2"/>
        <v>0</v>
      </c>
      <c r="O40" s="170"/>
      <c r="P40" s="154">
        <v>21.13</v>
      </c>
      <c r="S40" s="149"/>
      <c r="T40" s="149">
        <v>18</v>
      </c>
      <c r="U40" s="149">
        <f t="shared" si="3"/>
        <v>18</v>
      </c>
      <c r="V40" s="147">
        <v>18</v>
      </c>
    </row>
    <row r="41" spans="1:22" ht="26.25" customHeight="1" x14ac:dyDescent="0.2">
      <c r="A41" s="144" t="s">
        <v>208</v>
      </c>
      <c r="B41" s="163" t="s">
        <v>91</v>
      </c>
      <c r="C41" s="165" t="s">
        <v>92</v>
      </c>
      <c r="D41" s="116" t="s">
        <v>19</v>
      </c>
      <c r="E41" s="147">
        <v>18</v>
      </c>
      <c r="F41" s="149">
        <f t="shared" si="4"/>
        <v>18</v>
      </c>
      <c r="G41" s="149"/>
      <c r="H41" s="149">
        <f t="shared" si="5"/>
        <v>18</v>
      </c>
      <c r="I41" s="149">
        <f t="shared" si="6"/>
        <v>0</v>
      </c>
      <c r="J41" s="154">
        <f t="shared" si="11"/>
        <v>20.886816</v>
      </c>
      <c r="K41" s="149">
        <f t="shared" si="8"/>
        <v>26.41</v>
      </c>
      <c r="L41" s="159">
        <f t="shared" si="1"/>
        <v>0</v>
      </c>
      <c r="M41" s="159">
        <f t="shared" si="9"/>
        <v>475.38</v>
      </c>
      <c r="N41" s="159">
        <f t="shared" si="2"/>
        <v>0</v>
      </c>
      <c r="O41" s="170"/>
      <c r="P41" s="154">
        <v>23.28</v>
      </c>
      <c r="S41" s="149"/>
      <c r="T41" s="149">
        <v>18</v>
      </c>
      <c r="U41" s="149">
        <f t="shared" si="3"/>
        <v>18</v>
      </c>
      <c r="V41" s="147">
        <v>18</v>
      </c>
    </row>
    <row r="42" spans="1:22" x14ac:dyDescent="0.2">
      <c r="A42" s="151">
        <v>5</v>
      </c>
      <c r="B42" s="171"/>
      <c r="C42" s="164" t="s">
        <v>93</v>
      </c>
      <c r="D42" s="158" t="s">
        <v>3</v>
      </c>
      <c r="E42" s="147"/>
      <c r="F42" s="149">
        <f t="shared" si="4"/>
        <v>0</v>
      </c>
      <c r="G42" s="149"/>
      <c r="H42" s="149">
        <f t="shared" si="5"/>
        <v>0</v>
      </c>
      <c r="I42" s="149">
        <f t="shared" si="6"/>
        <v>0</v>
      </c>
      <c r="J42" s="172"/>
      <c r="K42" s="149"/>
      <c r="L42" s="159">
        <f t="shared" si="1"/>
        <v>0</v>
      </c>
      <c r="M42" s="159">
        <f t="shared" si="9"/>
        <v>0</v>
      </c>
      <c r="N42" s="159">
        <f t="shared" si="2"/>
        <v>0</v>
      </c>
      <c r="P42" s="172"/>
      <c r="S42" s="149"/>
      <c r="T42" s="149"/>
      <c r="U42" s="149">
        <f t="shared" si="3"/>
        <v>0</v>
      </c>
      <c r="V42" s="147"/>
    </row>
    <row r="43" spans="1:22" ht="65.25" customHeight="1" x14ac:dyDescent="0.2">
      <c r="A43" s="144" t="s">
        <v>96</v>
      </c>
      <c r="B43" s="171" t="s">
        <v>94</v>
      </c>
      <c r="C43" s="165" t="s">
        <v>95</v>
      </c>
      <c r="D43" s="158" t="s">
        <v>26</v>
      </c>
      <c r="E43" s="147">
        <v>188.56</v>
      </c>
      <c r="F43" s="149">
        <f t="shared" si="4"/>
        <v>188.56</v>
      </c>
      <c r="G43" s="149"/>
      <c r="H43" s="149">
        <f t="shared" si="5"/>
        <v>188.56</v>
      </c>
      <c r="I43" s="149">
        <f t="shared" si="6"/>
        <v>0</v>
      </c>
      <c r="J43" s="154">
        <f t="shared" si="11"/>
        <v>19.325688</v>
      </c>
      <c r="K43" s="149">
        <f t="shared" ref="K43:K79" si="12">ROUND(J43+(J43*$L$8),2)</f>
        <v>24.44</v>
      </c>
      <c r="L43" s="159">
        <f t="shared" si="1"/>
        <v>0</v>
      </c>
      <c r="M43" s="159">
        <f t="shared" si="9"/>
        <v>4608.4063999999998</v>
      </c>
      <c r="N43" s="159">
        <f t="shared" si="2"/>
        <v>0</v>
      </c>
      <c r="P43" s="172">
        <v>21.54</v>
      </c>
      <c r="S43" s="149">
        <f>71.96+116.6</f>
        <v>188.56</v>
      </c>
      <c r="T43" s="149"/>
      <c r="U43" s="149">
        <f t="shared" si="3"/>
        <v>188.56</v>
      </c>
      <c r="V43" s="147">
        <v>188.56</v>
      </c>
    </row>
    <row r="44" spans="1:22" ht="55.5" customHeight="1" x14ac:dyDescent="0.2">
      <c r="A44" s="144" t="s">
        <v>99</v>
      </c>
      <c r="B44" s="163" t="s">
        <v>97</v>
      </c>
      <c r="C44" s="165" t="s">
        <v>98</v>
      </c>
      <c r="D44" s="116" t="s">
        <v>24</v>
      </c>
      <c r="E44" s="147">
        <v>188.56</v>
      </c>
      <c r="F44" s="149">
        <f t="shared" si="4"/>
        <v>0</v>
      </c>
      <c r="G44" s="147">
        <v>158.56</v>
      </c>
      <c r="H44" s="149">
        <f t="shared" si="5"/>
        <v>158.56</v>
      </c>
      <c r="I44" s="149">
        <f t="shared" si="6"/>
        <v>30</v>
      </c>
      <c r="J44" s="154">
        <f t="shared" si="11"/>
        <v>64.104939999999999</v>
      </c>
      <c r="K44" s="149">
        <f t="shared" si="12"/>
        <v>81.05</v>
      </c>
      <c r="L44" s="159">
        <f t="shared" si="1"/>
        <v>12851.29</v>
      </c>
      <c r="M44" s="159">
        <f t="shared" si="9"/>
        <v>12851.288</v>
      </c>
      <c r="N44" s="159">
        <f t="shared" si="2"/>
        <v>2431.5</v>
      </c>
      <c r="P44" s="154">
        <v>71.45</v>
      </c>
      <c r="S44" s="149"/>
      <c r="T44" s="149"/>
      <c r="U44" s="149">
        <f t="shared" si="3"/>
        <v>0</v>
      </c>
      <c r="V44" s="147">
        <v>188.56</v>
      </c>
    </row>
    <row r="45" spans="1:22" ht="32.25" customHeight="1" x14ac:dyDescent="0.2">
      <c r="A45" s="144" t="s">
        <v>102</v>
      </c>
      <c r="B45" s="163" t="s">
        <v>100</v>
      </c>
      <c r="C45" s="165" t="s">
        <v>101</v>
      </c>
      <c r="D45" s="116" t="s">
        <v>24</v>
      </c>
      <c r="E45" s="147">
        <v>21.2</v>
      </c>
      <c r="F45" s="149">
        <f t="shared" si="4"/>
        <v>0</v>
      </c>
      <c r="G45" s="147">
        <v>21.2</v>
      </c>
      <c r="H45" s="149">
        <f t="shared" si="5"/>
        <v>21.2</v>
      </c>
      <c r="I45" s="149">
        <f t="shared" si="6"/>
        <v>0</v>
      </c>
      <c r="J45" s="154">
        <f t="shared" si="11"/>
        <v>39.745959999999997</v>
      </c>
      <c r="K45" s="149">
        <f t="shared" si="12"/>
        <v>50.25</v>
      </c>
      <c r="L45" s="159">
        <f t="shared" si="1"/>
        <v>1065.3</v>
      </c>
      <c r="M45" s="159">
        <f t="shared" si="9"/>
        <v>1065.3</v>
      </c>
      <c r="N45" s="159">
        <f t="shared" si="2"/>
        <v>0</v>
      </c>
      <c r="P45" s="154">
        <v>44.3</v>
      </c>
      <c r="S45" s="149"/>
      <c r="T45" s="149"/>
      <c r="U45" s="149">
        <f t="shared" si="3"/>
        <v>0</v>
      </c>
      <c r="V45" s="147">
        <v>21.2</v>
      </c>
    </row>
    <row r="46" spans="1:22" ht="25.5" customHeight="1" x14ac:dyDescent="0.2">
      <c r="A46" s="144" t="s">
        <v>103</v>
      </c>
      <c r="B46" s="163" t="s">
        <v>196</v>
      </c>
      <c r="C46" s="165" t="s">
        <v>197</v>
      </c>
      <c r="D46" s="116" t="s">
        <v>26</v>
      </c>
      <c r="E46" s="147">
        <v>221</v>
      </c>
      <c r="F46" s="149">
        <f t="shared" si="4"/>
        <v>0</v>
      </c>
      <c r="G46" s="149"/>
      <c r="H46" s="149">
        <f t="shared" si="5"/>
        <v>0</v>
      </c>
      <c r="I46" s="149">
        <f t="shared" si="6"/>
        <v>221</v>
      </c>
      <c r="J46" s="154">
        <f t="shared" si="11"/>
        <v>26.916</v>
      </c>
      <c r="K46" s="149">
        <f t="shared" si="12"/>
        <v>34.03</v>
      </c>
      <c r="L46" s="159">
        <f t="shared" si="1"/>
        <v>0</v>
      </c>
      <c r="M46" s="159">
        <f t="shared" si="9"/>
        <v>0</v>
      </c>
      <c r="N46" s="159">
        <f t="shared" si="2"/>
        <v>7520.63</v>
      </c>
      <c r="O46" s="168"/>
      <c r="P46" s="154">
        <v>30</v>
      </c>
      <c r="S46" s="149"/>
      <c r="T46" s="149"/>
      <c r="U46" s="149">
        <f t="shared" si="3"/>
        <v>0</v>
      </c>
      <c r="V46" s="147">
        <v>221</v>
      </c>
    </row>
    <row r="47" spans="1:22" ht="52.5" customHeight="1" x14ac:dyDescent="0.2">
      <c r="A47" s="144" t="s">
        <v>106</v>
      </c>
      <c r="B47" s="163" t="s">
        <v>104</v>
      </c>
      <c r="C47" s="165" t="s">
        <v>105</v>
      </c>
      <c r="D47" s="116" t="s">
        <v>24</v>
      </c>
      <c r="E47" s="147">
        <v>21.2</v>
      </c>
      <c r="F47" s="149">
        <f t="shared" si="4"/>
        <v>21.2</v>
      </c>
      <c r="G47" s="149"/>
      <c r="H47" s="149">
        <f t="shared" si="5"/>
        <v>21.2</v>
      </c>
      <c r="I47" s="149">
        <f t="shared" si="6"/>
        <v>0</v>
      </c>
      <c r="J47" s="154">
        <f t="shared" si="11"/>
        <v>80.380148000000005</v>
      </c>
      <c r="K47" s="149">
        <f t="shared" si="12"/>
        <v>101.63</v>
      </c>
      <c r="L47" s="159">
        <f t="shared" si="1"/>
        <v>0</v>
      </c>
      <c r="M47" s="159">
        <f t="shared" si="9"/>
        <v>2154.556</v>
      </c>
      <c r="N47" s="159">
        <f t="shared" si="2"/>
        <v>0</v>
      </c>
      <c r="P47" s="154">
        <v>89.59</v>
      </c>
      <c r="S47" s="149"/>
      <c r="T47" s="149">
        <v>21.2</v>
      </c>
      <c r="U47" s="149">
        <f t="shared" si="3"/>
        <v>21.2</v>
      </c>
      <c r="V47" s="147">
        <v>21.2</v>
      </c>
    </row>
    <row r="48" spans="1:22" x14ac:dyDescent="0.2">
      <c r="A48" s="151">
        <v>6</v>
      </c>
      <c r="B48" s="163"/>
      <c r="C48" s="164" t="s">
        <v>107</v>
      </c>
      <c r="D48" s="116" t="s">
        <v>3</v>
      </c>
      <c r="E48" s="147"/>
      <c r="F48" s="149">
        <f t="shared" si="4"/>
        <v>0</v>
      </c>
      <c r="G48" s="149"/>
      <c r="H48" s="149">
        <f t="shared" si="5"/>
        <v>0</v>
      </c>
      <c r="I48" s="149">
        <f t="shared" si="6"/>
        <v>0</v>
      </c>
      <c r="J48" s="154"/>
      <c r="K48" s="149"/>
      <c r="L48" s="159">
        <f t="shared" si="1"/>
        <v>0</v>
      </c>
      <c r="M48" s="159">
        <f t="shared" si="9"/>
        <v>0</v>
      </c>
      <c r="N48" s="159">
        <f t="shared" si="2"/>
        <v>0</v>
      </c>
      <c r="P48" s="154"/>
      <c r="S48" s="149"/>
      <c r="T48" s="149"/>
      <c r="U48" s="149">
        <f t="shared" si="3"/>
        <v>0</v>
      </c>
      <c r="V48" s="147"/>
    </row>
    <row r="49" spans="1:22" ht="57.75" customHeight="1" x14ac:dyDescent="0.2">
      <c r="A49" s="144" t="s">
        <v>110</v>
      </c>
      <c r="B49" s="163" t="s">
        <v>108</v>
      </c>
      <c r="C49" s="165" t="s">
        <v>109</v>
      </c>
      <c r="D49" s="116" t="s">
        <v>26</v>
      </c>
      <c r="E49" s="147">
        <v>15.5</v>
      </c>
      <c r="F49" s="149">
        <f t="shared" si="4"/>
        <v>15.5</v>
      </c>
      <c r="G49" s="149"/>
      <c r="H49" s="149">
        <f t="shared" si="5"/>
        <v>15.5</v>
      </c>
      <c r="I49" s="149">
        <f t="shared" si="6"/>
        <v>0</v>
      </c>
      <c r="J49" s="154">
        <f t="shared" si="11"/>
        <v>17.396708</v>
      </c>
      <c r="K49" s="149">
        <f t="shared" si="12"/>
        <v>22</v>
      </c>
      <c r="L49" s="159">
        <f t="shared" si="1"/>
        <v>0</v>
      </c>
      <c r="M49" s="159">
        <f t="shared" si="9"/>
        <v>341</v>
      </c>
      <c r="N49" s="159">
        <f t="shared" si="2"/>
        <v>0</v>
      </c>
      <c r="P49" s="154">
        <v>19.39</v>
      </c>
      <c r="S49" s="149">
        <v>15.5</v>
      </c>
      <c r="T49" s="149"/>
      <c r="U49" s="149">
        <f t="shared" si="3"/>
        <v>15.5</v>
      </c>
      <c r="V49" s="147">
        <v>15.5</v>
      </c>
    </row>
    <row r="50" spans="1:22" ht="51.75" customHeight="1" x14ac:dyDescent="0.2">
      <c r="A50" s="144" t="s">
        <v>113</v>
      </c>
      <c r="B50" s="163" t="s">
        <v>111</v>
      </c>
      <c r="C50" s="165" t="s">
        <v>112</v>
      </c>
      <c r="D50" s="116" t="s">
        <v>73</v>
      </c>
      <c r="E50" s="147">
        <v>4</v>
      </c>
      <c r="F50" s="149">
        <f t="shared" si="4"/>
        <v>0</v>
      </c>
      <c r="G50" s="149">
        <v>4</v>
      </c>
      <c r="H50" s="149">
        <f t="shared" si="5"/>
        <v>4</v>
      </c>
      <c r="I50" s="149">
        <f t="shared" si="6"/>
        <v>0</v>
      </c>
      <c r="J50" s="154">
        <f t="shared" si="11"/>
        <v>311.73214000000002</v>
      </c>
      <c r="K50" s="149">
        <f t="shared" si="12"/>
        <v>394.15</v>
      </c>
      <c r="L50" s="159">
        <f t="shared" si="1"/>
        <v>1576.6</v>
      </c>
      <c r="M50" s="159">
        <f t="shared" si="9"/>
        <v>1576.6</v>
      </c>
      <c r="N50" s="159">
        <f t="shared" si="2"/>
        <v>0</v>
      </c>
      <c r="P50" s="154">
        <v>347.45</v>
      </c>
      <c r="S50" s="149"/>
      <c r="T50" s="149"/>
      <c r="U50" s="149">
        <f t="shared" si="3"/>
        <v>0</v>
      </c>
      <c r="V50" s="147">
        <v>4</v>
      </c>
    </row>
    <row r="51" spans="1:22" ht="53.25" customHeight="1" x14ac:dyDescent="0.2">
      <c r="A51" s="144" t="s">
        <v>116</v>
      </c>
      <c r="B51" s="163" t="s">
        <v>114</v>
      </c>
      <c r="C51" s="165" t="s">
        <v>115</v>
      </c>
      <c r="D51" s="116" t="s">
        <v>73</v>
      </c>
      <c r="E51" s="147">
        <v>4</v>
      </c>
      <c r="F51" s="149">
        <f t="shared" si="4"/>
        <v>0</v>
      </c>
      <c r="G51" s="149">
        <v>4</v>
      </c>
      <c r="H51" s="149">
        <f t="shared" si="5"/>
        <v>4</v>
      </c>
      <c r="I51" s="149">
        <f t="shared" si="6"/>
        <v>0</v>
      </c>
      <c r="J51" s="154">
        <f t="shared" si="11"/>
        <v>308.25100399999997</v>
      </c>
      <c r="K51" s="149">
        <f t="shared" si="12"/>
        <v>389.75</v>
      </c>
      <c r="L51" s="159">
        <f t="shared" si="1"/>
        <v>1559</v>
      </c>
      <c r="M51" s="159">
        <f t="shared" si="9"/>
        <v>1559</v>
      </c>
      <c r="N51" s="159">
        <f t="shared" si="2"/>
        <v>0</v>
      </c>
      <c r="P51" s="154">
        <v>343.57</v>
      </c>
      <c r="S51" s="149"/>
      <c r="T51" s="149"/>
      <c r="U51" s="149">
        <f t="shared" si="3"/>
        <v>0</v>
      </c>
      <c r="V51" s="147">
        <v>4</v>
      </c>
    </row>
    <row r="52" spans="1:22" ht="52.5" customHeight="1" x14ac:dyDescent="0.2">
      <c r="A52" s="144" t="s">
        <v>121</v>
      </c>
      <c r="B52" s="163" t="s">
        <v>117</v>
      </c>
      <c r="C52" s="165" t="s">
        <v>118</v>
      </c>
      <c r="D52" s="116" t="s">
        <v>24</v>
      </c>
      <c r="E52" s="147">
        <v>17.7</v>
      </c>
      <c r="F52" s="149">
        <f t="shared" si="4"/>
        <v>0</v>
      </c>
      <c r="G52" s="149">
        <v>2.2999999999999998</v>
      </c>
      <c r="H52" s="149"/>
      <c r="I52" s="149">
        <f t="shared" si="6"/>
        <v>17.7</v>
      </c>
      <c r="J52" s="154">
        <f t="shared" si="11"/>
        <v>328.19576000000001</v>
      </c>
      <c r="K52" s="149">
        <f t="shared" si="12"/>
        <v>414.97</v>
      </c>
      <c r="L52" s="159">
        <f t="shared" si="1"/>
        <v>954.43</v>
      </c>
      <c r="M52" s="159">
        <f t="shared" si="9"/>
        <v>0</v>
      </c>
      <c r="N52" s="159">
        <f t="shared" si="2"/>
        <v>7344.97</v>
      </c>
      <c r="P52" s="154">
        <v>365.8</v>
      </c>
      <c r="S52" s="149"/>
      <c r="T52" s="149"/>
      <c r="U52" s="149">
        <f t="shared" si="3"/>
        <v>0</v>
      </c>
      <c r="V52" s="147">
        <v>17.7</v>
      </c>
    </row>
    <row r="53" spans="1:22" ht="52.5" customHeight="1" x14ac:dyDescent="0.2">
      <c r="A53" s="144" t="s">
        <v>124</v>
      </c>
      <c r="B53" s="163" t="s">
        <v>119</v>
      </c>
      <c r="C53" s="165" t="s">
        <v>120</v>
      </c>
      <c r="D53" s="116" t="s">
        <v>24</v>
      </c>
      <c r="E53" s="147">
        <v>8</v>
      </c>
      <c r="F53" s="149">
        <f t="shared" si="4"/>
        <v>0</v>
      </c>
      <c r="G53" s="149">
        <v>8</v>
      </c>
      <c r="H53" s="149">
        <f t="shared" si="5"/>
        <v>8</v>
      </c>
      <c r="I53" s="149">
        <f t="shared" si="6"/>
        <v>0</v>
      </c>
      <c r="J53" s="154">
        <f t="shared" si="11"/>
        <v>401.48802799999999</v>
      </c>
      <c r="K53" s="149">
        <f t="shared" si="12"/>
        <v>507.64</v>
      </c>
      <c r="L53" s="159">
        <f t="shared" si="1"/>
        <v>4061.12</v>
      </c>
      <c r="M53" s="159">
        <f t="shared" si="9"/>
        <v>4061.12</v>
      </c>
      <c r="N53" s="159">
        <f t="shared" si="2"/>
        <v>0</v>
      </c>
      <c r="P53" s="154">
        <v>447.49</v>
      </c>
      <c r="S53" s="149"/>
      <c r="T53" s="149"/>
      <c r="U53" s="149">
        <f t="shared" si="3"/>
        <v>0</v>
      </c>
      <c r="V53" s="147">
        <v>8</v>
      </c>
    </row>
    <row r="54" spans="1:22" ht="63.75" x14ac:dyDescent="0.2">
      <c r="A54" s="144" t="s">
        <v>209</v>
      </c>
      <c r="B54" s="163" t="s">
        <v>122</v>
      </c>
      <c r="C54" s="165" t="s">
        <v>123</v>
      </c>
      <c r="D54" s="116" t="s">
        <v>73</v>
      </c>
      <c r="E54" s="147">
        <v>4</v>
      </c>
      <c r="F54" s="149">
        <f t="shared" si="4"/>
        <v>0</v>
      </c>
      <c r="G54" s="149">
        <v>4</v>
      </c>
      <c r="H54" s="149">
        <f t="shared" si="5"/>
        <v>4</v>
      </c>
      <c r="I54" s="149">
        <f t="shared" si="6"/>
        <v>0</v>
      </c>
      <c r="J54" s="154">
        <f t="shared" si="11"/>
        <v>101.903976</v>
      </c>
      <c r="K54" s="149">
        <f t="shared" si="12"/>
        <v>128.85</v>
      </c>
      <c r="L54" s="159">
        <f t="shared" si="1"/>
        <v>515.4</v>
      </c>
      <c r="M54" s="159">
        <f t="shared" si="9"/>
        <v>515.4</v>
      </c>
      <c r="N54" s="159">
        <f t="shared" si="2"/>
        <v>0</v>
      </c>
      <c r="P54" s="154">
        <v>113.58</v>
      </c>
      <c r="S54" s="149"/>
      <c r="T54" s="149"/>
      <c r="U54" s="149">
        <f t="shared" si="3"/>
        <v>0</v>
      </c>
      <c r="V54" s="147">
        <v>4</v>
      </c>
    </row>
    <row r="55" spans="1:22" ht="42" customHeight="1" x14ac:dyDescent="0.2">
      <c r="A55" s="144" t="s">
        <v>210</v>
      </c>
      <c r="B55" s="163" t="s">
        <v>125</v>
      </c>
      <c r="C55" s="165" t="s">
        <v>126</v>
      </c>
      <c r="D55" s="116" t="s">
        <v>73</v>
      </c>
      <c r="E55" s="147">
        <v>12</v>
      </c>
      <c r="F55" s="149">
        <f t="shared" si="4"/>
        <v>0</v>
      </c>
      <c r="G55" s="147">
        <v>12</v>
      </c>
      <c r="H55" s="149">
        <f t="shared" si="5"/>
        <v>12</v>
      </c>
      <c r="I55" s="149">
        <f t="shared" si="6"/>
        <v>0</v>
      </c>
      <c r="J55" s="154">
        <f t="shared" si="11"/>
        <v>21.550743999999998</v>
      </c>
      <c r="K55" s="149">
        <f t="shared" si="12"/>
        <v>27.25</v>
      </c>
      <c r="L55" s="159">
        <f t="shared" si="1"/>
        <v>327</v>
      </c>
      <c r="M55" s="159">
        <f t="shared" si="9"/>
        <v>327</v>
      </c>
      <c r="N55" s="159">
        <f t="shared" si="2"/>
        <v>0</v>
      </c>
      <c r="P55" s="154">
        <v>24.02</v>
      </c>
      <c r="S55" s="147"/>
      <c r="T55" s="147"/>
      <c r="U55" s="149">
        <f t="shared" si="3"/>
        <v>0</v>
      </c>
      <c r="V55" s="147">
        <v>12</v>
      </c>
    </row>
    <row r="56" spans="1:22" x14ac:dyDescent="0.2">
      <c r="A56" s="151">
        <v>7</v>
      </c>
      <c r="B56" s="163"/>
      <c r="C56" s="164" t="s">
        <v>127</v>
      </c>
      <c r="D56" s="116" t="s">
        <v>3</v>
      </c>
      <c r="E56" s="147"/>
      <c r="F56" s="149"/>
      <c r="G56" s="147"/>
      <c r="H56" s="149"/>
      <c r="I56" s="149"/>
      <c r="J56" s="154"/>
      <c r="K56" s="149"/>
      <c r="L56" s="159"/>
      <c r="M56" s="159"/>
      <c r="N56" s="159"/>
      <c r="P56" s="154"/>
      <c r="S56" s="147"/>
      <c r="T56" s="147"/>
      <c r="U56" s="149">
        <f t="shared" si="3"/>
        <v>0</v>
      </c>
      <c r="V56" s="147"/>
    </row>
    <row r="57" spans="1:22" ht="28.5" customHeight="1" x14ac:dyDescent="0.2">
      <c r="A57" s="144" t="s">
        <v>128</v>
      </c>
      <c r="B57" s="163" t="s">
        <v>196</v>
      </c>
      <c r="C57" s="165" t="s">
        <v>199</v>
      </c>
      <c r="D57" s="116" t="s">
        <v>24</v>
      </c>
      <c r="E57" s="147">
        <v>255</v>
      </c>
      <c r="F57" s="149">
        <f t="shared" si="4"/>
        <v>0</v>
      </c>
      <c r="G57" s="147"/>
      <c r="H57" s="149">
        <f t="shared" si="5"/>
        <v>0</v>
      </c>
      <c r="I57" s="149">
        <f t="shared" si="6"/>
        <v>255</v>
      </c>
      <c r="J57" s="154">
        <f t="shared" si="11"/>
        <v>17.558204</v>
      </c>
      <c r="K57" s="149">
        <f t="shared" si="12"/>
        <v>22.2</v>
      </c>
      <c r="L57" s="159">
        <f t="shared" si="1"/>
        <v>0</v>
      </c>
      <c r="M57" s="159">
        <f t="shared" si="9"/>
        <v>0</v>
      </c>
      <c r="N57" s="159">
        <f t="shared" si="2"/>
        <v>5661</v>
      </c>
      <c r="P57" s="154">
        <v>19.57</v>
      </c>
      <c r="Q57" s="120">
        <f>15*17</f>
        <v>255</v>
      </c>
      <c r="S57" s="147"/>
      <c r="T57" s="147"/>
      <c r="U57" s="149">
        <f t="shared" si="3"/>
        <v>0</v>
      </c>
      <c r="V57" s="147">
        <v>255</v>
      </c>
    </row>
    <row r="58" spans="1:22" ht="24" customHeight="1" x14ac:dyDescent="0.2">
      <c r="A58" s="144" t="s">
        <v>129</v>
      </c>
      <c r="B58" s="163" t="s">
        <v>196</v>
      </c>
      <c r="C58" s="165" t="s">
        <v>198</v>
      </c>
      <c r="D58" s="116" t="s">
        <v>24</v>
      </c>
      <c r="E58" s="147">
        <v>255</v>
      </c>
      <c r="F58" s="149">
        <f t="shared" si="4"/>
        <v>0</v>
      </c>
      <c r="G58" s="147"/>
      <c r="H58" s="149">
        <f t="shared" si="5"/>
        <v>0</v>
      </c>
      <c r="I58" s="149">
        <f t="shared" si="6"/>
        <v>255</v>
      </c>
      <c r="J58" s="154">
        <f t="shared" si="11"/>
        <v>30.101059999999997</v>
      </c>
      <c r="K58" s="149">
        <f t="shared" si="12"/>
        <v>38.06</v>
      </c>
      <c r="L58" s="159">
        <f t="shared" si="1"/>
        <v>0</v>
      </c>
      <c r="M58" s="159">
        <f t="shared" si="9"/>
        <v>0</v>
      </c>
      <c r="N58" s="159">
        <f t="shared" si="2"/>
        <v>9705.2999999999993</v>
      </c>
      <c r="P58" s="154">
        <v>33.549999999999997</v>
      </c>
      <c r="S58" s="147"/>
      <c r="T58" s="147"/>
      <c r="U58" s="149">
        <f t="shared" si="3"/>
        <v>0</v>
      </c>
      <c r="V58" s="147">
        <v>255</v>
      </c>
    </row>
    <row r="59" spans="1:22" ht="40.5" customHeight="1" x14ac:dyDescent="0.2">
      <c r="A59" s="144" t="s">
        <v>134</v>
      </c>
      <c r="B59" s="163" t="s">
        <v>130</v>
      </c>
      <c r="C59" s="165" t="s">
        <v>131</v>
      </c>
      <c r="D59" s="116" t="s">
        <v>24</v>
      </c>
      <c r="E59" s="147">
        <v>21.2</v>
      </c>
      <c r="F59" s="149">
        <f t="shared" si="4"/>
        <v>0</v>
      </c>
      <c r="G59" s="147"/>
      <c r="H59" s="149">
        <f t="shared" si="5"/>
        <v>0</v>
      </c>
      <c r="I59" s="149">
        <f t="shared" si="6"/>
        <v>21.2</v>
      </c>
      <c r="J59" s="154">
        <f t="shared" si="11"/>
        <v>13.897628000000001</v>
      </c>
      <c r="K59" s="149">
        <f t="shared" si="12"/>
        <v>17.57</v>
      </c>
      <c r="L59" s="159">
        <f t="shared" si="1"/>
        <v>0</v>
      </c>
      <c r="M59" s="159">
        <f t="shared" si="9"/>
        <v>0</v>
      </c>
      <c r="N59" s="159">
        <f t="shared" si="2"/>
        <v>372.48</v>
      </c>
      <c r="P59" s="154">
        <v>15.49</v>
      </c>
      <c r="S59" s="147"/>
      <c r="T59" s="147"/>
      <c r="U59" s="149">
        <f t="shared" si="3"/>
        <v>0</v>
      </c>
      <c r="V59" s="147">
        <v>21.2</v>
      </c>
    </row>
    <row r="60" spans="1:22" ht="43.5" customHeight="1" x14ac:dyDescent="0.2">
      <c r="A60" s="144" t="s">
        <v>137</v>
      </c>
      <c r="B60" s="163" t="s">
        <v>132</v>
      </c>
      <c r="C60" s="165" t="s">
        <v>133</v>
      </c>
      <c r="D60" s="116" t="s">
        <v>24</v>
      </c>
      <c r="E60" s="147">
        <v>2374</v>
      </c>
      <c r="F60" s="149">
        <f t="shared" si="4"/>
        <v>0</v>
      </c>
      <c r="G60" s="147"/>
      <c r="H60" s="149">
        <f t="shared" si="5"/>
        <v>0</v>
      </c>
      <c r="I60" s="149">
        <f t="shared" si="6"/>
        <v>2374</v>
      </c>
      <c r="J60" s="154">
        <f t="shared" si="11"/>
        <v>14.229592</v>
      </c>
      <c r="K60" s="149">
        <f t="shared" si="12"/>
        <v>17.989999999999998</v>
      </c>
      <c r="L60" s="159">
        <f t="shared" si="1"/>
        <v>0</v>
      </c>
      <c r="M60" s="159">
        <f t="shared" si="9"/>
        <v>0</v>
      </c>
      <c r="N60" s="159">
        <f t="shared" si="2"/>
        <v>42708.26</v>
      </c>
      <c r="P60" s="154">
        <v>15.86</v>
      </c>
      <c r="S60" s="147"/>
      <c r="T60" s="147"/>
      <c r="U60" s="149">
        <f t="shared" si="3"/>
        <v>0</v>
      </c>
      <c r="V60" s="147">
        <v>2374</v>
      </c>
    </row>
    <row r="61" spans="1:22" ht="41.25" customHeight="1" x14ac:dyDescent="0.2">
      <c r="A61" s="144" t="s">
        <v>138</v>
      </c>
      <c r="B61" s="163" t="s">
        <v>135</v>
      </c>
      <c r="C61" s="165" t="s">
        <v>136</v>
      </c>
      <c r="D61" s="116" t="s">
        <v>24</v>
      </c>
      <c r="E61" s="147">
        <v>21.2</v>
      </c>
      <c r="F61" s="149">
        <f t="shared" si="4"/>
        <v>0</v>
      </c>
      <c r="G61" s="147"/>
      <c r="H61" s="149">
        <f t="shared" si="5"/>
        <v>0</v>
      </c>
      <c r="I61" s="149">
        <f t="shared" si="6"/>
        <v>21.2</v>
      </c>
      <c r="J61" s="154">
        <f t="shared" si="11"/>
        <v>6.4329239999999999</v>
      </c>
      <c r="K61" s="149">
        <f t="shared" si="12"/>
        <v>8.1300000000000008</v>
      </c>
      <c r="L61" s="159">
        <f t="shared" si="1"/>
        <v>0</v>
      </c>
      <c r="M61" s="159">
        <f t="shared" si="9"/>
        <v>0</v>
      </c>
      <c r="N61" s="159">
        <f t="shared" si="2"/>
        <v>172.36</v>
      </c>
      <c r="P61" s="154">
        <v>7.17</v>
      </c>
      <c r="S61" s="147"/>
      <c r="T61" s="147"/>
      <c r="U61" s="149">
        <f t="shared" si="3"/>
        <v>0</v>
      </c>
      <c r="V61" s="147">
        <v>21.2</v>
      </c>
    </row>
    <row r="62" spans="1:22" x14ac:dyDescent="0.2">
      <c r="A62" s="151">
        <v>8</v>
      </c>
      <c r="B62" s="163"/>
      <c r="C62" s="164" t="s">
        <v>139</v>
      </c>
      <c r="D62" s="116" t="s">
        <v>3</v>
      </c>
      <c r="E62" s="147"/>
      <c r="F62" s="149"/>
      <c r="G62" s="147"/>
      <c r="H62" s="149"/>
      <c r="I62" s="149"/>
      <c r="J62" s="154"/>
      <c r="K62" s="149"/>
      <c r="L62" s="159"/>
      <c r="M62" s="159"/>
      <c r="N62" s="159"/>
      <c r="P62" s="154"/>
      <c r="S62" s="147"/>
      <c r="T62" s="147"/>
      <c r="U62" s="149">
        <f t="shared" si="3"/>
        <v>0</v>
      </c>
      <c r="V62" s="147"/>
    </row>
    <row r="63" spans="1:22" ht="52.5" customHeight="1" x14ac:dyDescent="0.2">
      <c r="A63" s="144" t="s">
        <v>140</v>
      </c>
      <c r="B63" s="163" t="s">
        <v>141</v>
      </c>
      <c r="C63" s="165" t="s">
        <v>142</v>
      </c>
      <c r="D63" s="116" t="s">
        <v>143</v>
      </c>
      <c r="E63" s="147">
        <v>7</v>
      </c>
      <c r="F63" s="149">
        <f t="shared" si="4"/>
        <v>0</v>
      </c>
      <c r="G63" s="147">
        <v>6</v>
      </c>
      <c r="H63" s="149">
        <f t="shared" si="5"/>
        <v>6</v>
      </c>
      <c r="I63" s="149">
        <f t="shared" si="6"/>
        <v>1</v>
      </c>
      <c r="J63" s="154">
        <f t="shared" si="11"/>
        <v>155.000272</v>
      </c>
      <c r="K63" s="149">
        <f t="shared" si="12"/>
        <v>195.98</v>
      </c>
      <c r="L63" s="159">
        <f t="shared" si="1"/>
        <v>1175.8800000000001</v>
      </c>
      <c r="M63" s="159">
        <f t="shared" si="9"/>
        <v>1175.8799999999999</v>
      </c>
      <c r="N63" s="159">
        <f t="shared" si="2"/>
        <v>195.98</v>
      </c>
      <c r="P63" s="154">
        <v>172.76</v>
      </c>
      <c r="S63" s="147"/>
      <c r="T63" s="147"/>
      <c r="U63" s="149">
        <f t="shared" si="3"/>
        <v>0</v>
      </c>
      <c r="V63" s="147">
        <v>7</v>
      </c>
    </row>
    <row r="64" spans="1:22" ht="39" customHeight="1" x14ac:dyDescent="0.2">
      <c r="A64" s="144" t="s">
        <v>144</v>
      </c>
      <c r="B64" s="163" t="s">
        <v>145</v>
      </c>
      <c r="C64" s="165" t="s">
        <v>146</v>
      </c>
      <c r="D64" s="116" t="s">
        <v>19</v>
      </c>
      <c r="E64" s="147">
        <v>100</v>
      </c>
      <c r="F64" s="149">
        <f t="shared" si="4"/>
        <v>0</v>
      </c>
      <c r="G64" s="147">
        <v>100</v>
      </c>
      <c r="H64" s="149">
        <f t="shared" si="5"/>
        <v>100</v>
      </c>
      <c r="I64" s="149">
        <f t="shared" si="6"/>
        <v>0</v>
      </c>
      <c r="J64" s="154">
        <f t="shared" si="11"/>
        <v>3.7233800000000001</v>
      </c>
      <c r="K64" s="149">
        <f t="shared" si="12"/>
        <v>4.71</v>
      </c>
      <c r="L64" s="159">
        <f t="shared" si="1"/>
        <v>471</v>
      </c>
      <c r="M64" s="159">
        <f t="shared" si="9"/>
        <v>471</v>
      </c>
      <c r="N64" s="159">
        <f t="shared" si="2"/>
        <v>0</v>
      </c>
      <c r="P64" s="154">
        <v>4.1500000000000004</v>
      </c>
      <c r="S64" s="147"/>
      <c r="T64" s="147"/>
      <c r="U64" s="149">
        <f t="shared" si="3"/>
        <v>0</v>
      </c>
      <c r="V64" s="147">
        <v>100</v>
      </c>
    </row>
    <row r="65" spans="1:22" ht="38.25" customHeight="1" x14ac:dyDescent="0.2">
      <c r="A65" s="144" t="s">
        <v>147</v>
      </c>
      <c r="B65" s="163" t="s">
        <v>148</v>
      </c>
      <c r="C65" s="165" t="s">
        <v>149</v>
      </c>
      <c r="D65" s="116" t="s">
        <v>19</v>
      </c>
      <c r="E65" s="147">
        <v>100</v>
      </c>
      <c r="F65" s="149">
        <f t="shared" si="4"/>
        <v>0</v>
      </c>
      <c r="G65" s="147"/>
      <c r="H65" s="149">
        <f t="shared" si="5"/>
        <v>0</v>
      </c>
      <c r="I65" s="149">
        <f t="shared" si="6"/>
        <v>100</v>
      </c>
      <c r="J65" s="154">
        <f t="shared" si="11"/>
        <v>6.8097479999999999</v>
      </c>
      <c r="K65" s="149">
        <f t="shared" si="12"/>
        <v>8.61</v>
      </c>
      <c r="L65" s="159">
        <f t="shared" si="1"/>
        <v>0</v>
      </c>
      <c r="M65" s="159">
        <f t="shared" si="9"/>
        <v>0</v>
      </c>
      <c r="N65" s="159">
        <f t="shared" si="2"/>
        <v>861</v>
      </c>
      <c r="P65" s="154">
        <v>7.59</v>
      </c>
      <c r="S65" s="147"/>
      <c r="T65" s="147"/>
      <c r="U65" s="149">
        <f t="shared" si="3"/>
        <v>0</v>
      </c>
      <c r="V65" s="147">
        <v>100</v>
      </c>
    </row>
    <row r="66" spans="1:22" ht="48" customHeight="1" x14ac:dyDescent="0.2">
      <c r="A66" s="144" t="s">
        <v>150</v>
      </c>
      <c r="B66" s="163" t="s">
        <v>151</v>
      </c>
      <c r="C66" s="165" t="s">
        <v>152</v>
      </c>
      <c r="D66" s="116" t="s">
        <v>73</v>
      </c>
      <c r="E66" s="147">
        <v>8</v>
      </c>
      <c r="F66" s="149">
        <f t="shared" si="4"/>
        <v>0</v>
      </c>
      <c r="G66" s="147">
        <v>1</v>
      </c>
      <c r="H66" s="149">
        <f t="shared" si="5"/>
        <v>1</v>
      </c>
      <c r="I66" s="149">
        <f t="shared" si="6"/>
        <v>7</v>
      </c>
      <c r="J66" s="154">
        <f t="shared" si="11"/>
        <v>24.726831999999998</v>
      </c>
      <c r="K66" s="149">
        <f t="shared" si="12"/>
        <v>31.26</v>
      </c>
      <c r="L66" s="159">
        <f t="shared" si="1"/>
        <v>31.26</v>
      </c>
      <c r="M66" s="159">
        <f t="shared" si="9"/>
        <v>31.26</v>
      </c>
      <c r="N66" s="159">
        <f t="shared" si="2"/>
        <v>218.82</v>
      </c>
      <c r="P66" s="154">
        <v>27.56</v>
      </c>
      <c r="S66" s="147"/>
      <c r="T66" s="147"/>
      <c r="U66" s="149">
        <f t="shared" si="3"/>
        <v>0</v>
      </c>
      <c r="V66" s="147">
        <v>8</v>
      </c>
    </row>
    <row r="67" spans="1:22" ht="53.25" customHeight="1" x14ac:dyDescent="0.2">
      <c r="A67" s="144" t="s">
        <v>153</v>
      </c>
      <c r="B67" s="163" t="s">
        <v>154</v>
      </c>
      <c r="C67" s="165" t="s">
        <v>155</v>
      </c>
      <c r="D67" s="116" t="s">
        <v>73</v>
      </c>
      <c r="E67" s="147">
        <v>4</v>
      </c>
      <c r="F67" s="149">
        <f t="shared" si="4"/>
        <v>0</v>
      </c>
      <c r="G67" s="147">
        <v>4</v>
      </c>
      <c r="H67" s="149">
        <f t="shared" si="5"/>
        <v>4</v>
      </c>
      <c r="I67" s="149">
        <f t="shared" si="6"/>
        <v>0</v>
      </c>
      <c r="J67" s="154">
        <f t="shared" si="11"/>
        <v>60.964739999999999</v>
      </c>
      <c r="K67" s="149">
        <f t="shared" si="12"/>
        <v>77.08</v>
      </c>
      <c r="L67" s="159">
        <f t="shared" si="1"/>
        <v>308.32</v>
      </c>
      <c r="M67" s="159">
        <f t="shared" si="9"/>
        <v>308.32</v>
      </c>
      <c r="N67" s="159">
        <f t="shared" si="2"/>
        <v>0</v>
      </c>
      <c r="P67" s="154">
        <v>67.95</v>
      </c>
      <c r="S67" s="147"/>
      <c r="T67" s="147"/>
      <c r="U67" s="149">
        <f t="shared" si="3"/>
        <v>0</v>
      </c>
      <c r="V67" s="147">
        <v>4</v>
      </c>
    </row>
    <row r="68" spans="1:22" ht="39" customHeight="1" x14ac:dyDescent="0.2">
      <c r="A68" s="144" t="s">
        <v>156</v>
      </c>
      <c r="B68" s="163" t="s">
        <v>157</v>
      </c>
      <c r="C68" s="165" t="s">
        <v>158</v>
      </c>
      <c r="D68" s="116" t="s">
        <v>73</v>
      </c>
      <c r="E68" s="147">
        <v>1</v>
      </c>
      <c r="F68" s="149">
        <f t="shared" si="4"/>
        <v>0</v>
      </c>
      <c r="G68" s="147"/>
      <c r="H68" s="149">
        <f t="shared" si="5"/>
        <v>0</v>
      </c>
      <c r="I68" s="149">
        <f t="shared" si="6"/>
        <v>1</v>
      </c>
      <c r="J68" s="154">
        <f t="shared" si="11"/>
        <v>156.37298799999999</v>
      </c>
      <c r="K68" s="149">
        <f t="shared" si="12"/>
        <v>197.72</v>
      </c>
      <c r="L68" s="159">
        <f t="shared" si="1"/>
        <v>0</v>
      </c>
      <c r="M68" s="159">
        <f t="shared" si="9"/>
        <v>0</v>
      </c>
      <c r="N68" s="159">
        <f t="shared" si="2"/>
        <v>197.72</v>
      </c>
      <c r="P68" s="154">
        <v>174.29</v>
      </c>
      <c r="S68" s="147"/>
      <c r="T68" s="147"/>
      <c r="U68" s="149">
        <f t="shared" si="3"/>
        <v>0</v>
      </c>
      <c r="V68" s="147">
        <v>1</v>
      </c>
    </row>
    <row r="69" spans="1:22" ht="27.75" customHeight="1" x14ac:dyDescent="0.2">
      <c r="A69" s="144" t="s">
        <v>211</v>
      </c>
      <c r="B69" s="163" t="s">
        <v>159</v>
      </c>
      <c r="C69" s="165" t="s">
        <v>160</v>
      </c>
      <c r="D69" s="116" t="s">
        <v>73</v>
      </c>
      <c r="E69" s="147">
        <v>2</v>
      </c>
      <c r="F69" s="149">
        <f t="shared" si="4"/>
        <v>0</v>
      </c>
      <c r="G69" s="147"/>
      <c r="H69" s="149">
        <f t="shared" si="5"/>
        <v>0</v>
      </c>
      <c r="I69" s="149">
        <f t="shared" si="6"/>
        <v>2</v>
      </c>
      <c r="J69" s="154">
        <f t="shared" si="11"/>
        <v>17.073716000000001</v>
      </c>
      <c r="K69" s="149">
        <f t="shared" si="12"/>
        <v>21.59</v>
      </c>
      <c r="L69" s="159">
        <f t="shared" si="1"/>
        <v>0</v>
      </c>
      <c r="M69" s="159">
        <f t="shared" si="9"/>
        <v>0</v>
      </c>
      <c r="N69" s="159">
        <f t="shared" si="2"/>
        <v>43.18</v>
      </c>
      <c r="P69" s="154">
        <v>19.03</v>
      </c>
      <c r="S69" s="147"/>
      <c r="T69" s="147"/>
      <c r="U69" s="149">
        <f t="shared" si="3"/>
        <v>0</v>
      </c>
      <c r="V69" s="147">
        <v>2</v>
      </c>
    </row>
    <row r="70" spans="1:22" ht="28.5" customHeight="1" x14ac:dyDescent="0.2">
      <c r="A70" s="144" t="s">
        <v>212</v>
      </c>
      <c r="B70" s="163" t="s">
        <v>161</v>
      </c>
      <c r="C70" s="165" t="s">
        <v>162</v>
      </c>
      <c r="D70" s="116" t="s">
        <v>73</v>
      </c>
      <c r="E70" s="147">
        <v>2</v>
      </c>
      <c r="F70" s="149">
        <f t="shared" si="4"/>
        <v>0</v>
      </c>
      <c r="G70" s="147"/>
      <c r="H70" s="149">
        <f t="shared" si="5"/>
        <v>0</v>
      </c>
      <c r="I70" s="149">
        <f t="shared" si="6"/>
        <v>2</v>
      </c>
      <c r="J70" s="154">
        <f t="shared" si="11"/>
        <v>35.484259999999999</v>
      </c>
      <c r="K70" s="149">
        <f t="shared" si="12"/>
        <v>44.87</v>
      </c>
      <c r="L70" s="159">
        <f t="shared" si="1"/>
        <v>0</v>
      </c>
      <c r="M70" s="159">
        <f t="shared" si="9"/>
        <v>0</v>
      </c>
      <c r="N70" s="159">
        <f t="shared" si="2"/>
        <v>89.74</v>
      </c>
      <c r="P70" s="154">
        <v>39.549999999999997</v>
      </c>
      <c r="S70" s="147"/>
      <c r="T70" s="147"/>
      <c r="U70" s="149">
        <f t="shared" si="3"/>
        <v>0</v>
      </c>
      <c r="V70" s="147">
        <v>2</v>
      </c>
    </row>
    <row r="71" spans="1:22" x14ac:dyDescent="0.2">
      <c r="A71" s="151">
        <v>9</v>
      </c>
      <c r="B71" s="163"/>
      <c r="C71" s="164" t="s">
        <v>163</v>
      </c>
      <c r="D71" s="116" t="s">
        <v>3</v>
      </c>
      <c r="E71" s="147"/>
      <c r="F71" s="149"/>
      <c r="G71" s="147"/>
      <c r="H71" s="149"/>
      <c r="I71" s="149"/>
      <c r="J71" s="154"/>
      <c r="K71" s="149"/>
      <c r="L71" s="159"/>
      <c r="M71" s="159"/>
      <c r="N71" s="159"/>
      <c r="P71" s="154"/>
      <c r="S71" s="147"/>
      <c r="T71" s="147"/>
      <c r="U71" s="149">
        <f t="shared" si="3"/>
        <v>0</v>
      </c>
      <c r="V71" s="147"/>
    </row>
    <row r="72" spans="1:22" ht="51.75" customHeight="1" x14ac:dyDescent="0.2">
      <c r="A72" s="144" t="s">
        <v>164</v>
      </c>
      <c r="B72" s="163" t="s">
        <v>165</v>
      </c>
      <c r="C72" s="165" t="s">
        <v>166</v>
      </c>
      <c r="D72" s="116" t="s">
        <v>73</v>
      </c>
      <c r="E72" s="147">
        <v>3</v>
      </c>
      <c r="F72" s="149">
        <f t="shared" si="4"/>
        <v>0</v>
      </c>
      <c r="G72" s="147"/>
      <c r="H72" s="149">
        <f t="shared" si="5"/>
        <v>0</v>
      </c>
      <c r="I72" s="149">
        <f t="shared" si="6"/>
        <v>3</v>
      </c>
      <c r="J72" s="154">
        <f t="shared" si="11"/>
        <v>509.44810400000006</v>
      </c>
      <c r="K72" s="149">
        <f t="shared" si="12"/>
        <v>644.15</v>
      </c>
      <c r="L72" s="159">
        <f t="shared" si="1"/>
        <v>0</v>
      </c>
      <c r="M72" s="159">
        <f t="shared" si="9"/>
        <v>0</v>
      </c>
      <c r="N72" s="159">
        <f t="shared" si="2"/>
        <v>1932.45</v>
      </c>
      <c r="P72" s="154">
        <v>567.82000000000005</v>
      </c>
      <c r="S72" s="147"/>
      <c r="T72" s="147"/>
      <c r="U72" s="149">
        <f t="shared" si="3"/>
        <v>0</v>
      </c>
      <c r="V72" s="147">
        <v>3</v>
      </c>
    </row>
    <row r="73" spans="1:22" ht="39.75" customHeight="1" x14ac:dyDescent="0.2">
      <c r="A73" s="144" t="s">
        <v>167</v>
      </c>
      <c r="B73" s="163" t="s">
        <v>170</v>
      </c>
      <c r="C73" s="165" t="s">
        <v>171</v>
      </c>
      <c r="D73" s="116" t="s">
        <v>73</v>
      </c>
      <c r="E73" s="147">
        <v>3</v>
      </c>
      <c r="F73" s="149">
        <f t="shared" si="4"/>
        <v>0</v>
      </c>
      <c r="G73" s="147"/>
      <c r="H73" s="149">
        <f t="shared" si="5"/>
        <v>0</v>
      </c>
      <c r="I73" s="149">
        <f t="shared" si="6"/>
        <v>3</v>
      </c>
      <c r="J73" s="154">
        <f t="shared" si="11"/>
        <v>198.58624800000001</v>
      </c>
      <c r="K73" s="149">
        <f t="shared" si="12"/>
        <v>251.09</v>
      </c>
      <c r="L73" s="159">
        <f t="shared" si="1"/>
        <v>0</v>
      </c>
      <c r="M73" s="159">
        <f t="shared" si="9"/>
        <v>0</v>
      </c>
      <c r="N73" s="159">
        <f t="shared" si="2"/>
        <v>753.27</v>
      </c>
      <c r="P73" s="154">
        <v>221.34</v>
      </c>
      <c r="S73" s="147"/>
      <c r="T73" s="147"/>
      <c r="U73" s="149">
        <f t="shared" si="3"/>
        <v>0</v>
      </c>
      <c r="V73" s="147">
        <v>3</v>
      </c>
    </row>
    <row r="74" spans="1:22" ht="28.5" customHeight="1" x14ac:dyDescent="0.2">
      <c r="A74" s="144" t="s">
        <v>168</v>
      </c>
      <c r="B74" s="163" t="s">
        <v>173</v>
      </c>
      <c r="C74" s="165" t="s">
        <v>174</v>
      </c>
      <c r="D74" s="116" t="s">
        <v>143</v>
      </c>
      <c r="E74" s="147">
        <v>2</v>
      </c>
      <c r="F74" s="149">
        <f t="shared" si="4"/>
        <v>0</v>
      </c>
      <c r="G74" s="147"/>
      <c r="H74" s="149">
        <f t="shared" si="5"/>
        <v>0</v>
      </c>
      <c r="I74" s="149">
        <f t="shared" si="6"/>
        <v>2</v>
      </c>
      <c r="J74" s="154">
        <f t="shared" si="11"/>
        <v>620.53043600000001</v>
      </c>
      <c r="K74" s="149">
        <f t="shared" si="12"/>
        <v>784.6</v>
      </c>
      <c r="L74" s="159">
        <f t="shared" si="1"/>
        <v>0</v>
      </c>
      <c r="M74" s="159">
        <f t="shared" si="9"/>
        <v>0</v>
      </c>
      <c r="N74" s="159">
        <f t="shared" si="2"/>
        <v>1569.2</v>
      </c>
      <c r="P74" s="154">
        <v>691.63</v>
      </c>
      <c r="S74" s="147"/>
      <c r="T74" s="147"/>
      <c r="U74" s="149">
        <f t="shared" si="3"/>
        <v>0</v>
      </c>
      <c r="V74" s="147">
        <v>2</v>
      </c>
    </row>
    <row r="75" spans="1:22" ht="30.75" customHeight="1" x14ac:dyDescent="0.2">
      <c r="A75" s="144" t="s">
        <v>169</v>
      </c>
      <c r="B75" s="163" t="s">
        <v>176</v>
      </c>
      <c r="C75" s="165" t="s">
        <v>177</v>
      </c>
      <c r="D75" s="116" t="s">
        <v>143</v>
      </c>
      <c r="E75" s="147">
        <v>2</v>
      </c>
      <c r="F75" s="149">
        <f t="shared" si="4"/>
        <v>0</v>
      </c>
      <c r="G75" s="147"/>
      <c r="H75" s="149">
        <f t="shared" si="5"/>
        <v>0</v>
      </c>
      <c r="I75" s="149">
        <f t="shared" si="6"/>
        <v>2</v>
      </c>
      <c r="J75" s="154">
        <f t="shared" si="11"/>
        <v>223.39382800000001</v>
      </c>
      <c r="K75" s="149">
        <f t="shared" si="12"/>
        <v>282.45999999999998</v>
      </c>
      <c r="L75" s="159">
        <f t="shared" si="1"/>
        <v>0</v>
      </c>
      <c r="M75" s="159">
        <f t="shared" si="9"/>
        <v>0</v>
      </c>
      <c r="N75" s="159">
        <f t="shared" si="2"/>
        <v>564.91999999999996</v>
      </c>
      <c r="P75" s="154">
        <v>248.99</v>
      </c>
      <c r="S75" s="147"/>
      <c r="T75" s="147"/>
      <c r="U75" s="149">
        <f t="shared" si="3"/>
        <v>0</v>
      </c>
      <c r="V75" s="147">
        <v>2</v>
      </c>
    </row>
    <row r="76" spans="1:22" ht="21.75" customHeight="1" x14ac:dyDescent="0.2">
      <c r="A76" s="144" t="s">
        <v>172</v>
      </c>
      <c r="B76" s="163" t="s">
        <v>178</v>
      </c>
      <c r="C76" s="165" t="s">
        <v>179</v>
      </c>
      <c r="D76" s="116" t="s">
        <v>24</v>
      </c>
      <c r="E76" s="147">
        <v>3</v>
      </c>
      <c r="F76" s="149">
        <f t="shared" si="4"/>
        <v>0</v>
      </c>
      <c r="G76" s="147"/>
      <c r="H76" s="149">
        <f t="shared" si="5"/>
        <v>0</v>
      </c>
      <c r="I76" s="149">
        <f t="shared" si="6"/>
        <v>3</v>
      </c>
      <c r="J76" s="154">
        <f t="shared" si="11"/>
        <v>324.71462400000001</v>
      </c>
      <c r="K76" s="149">
        <f t="shared" si="12"/>
        <v>410.57</v>
      </c>
      <c r="L76" s="159">
        <f t="shared" si="1"/>
        <v>0</v>
      </c>
      <c r="M76" s="159">
        <f t="shared" si="9"/>
        <v>0</v>
      </c>
      <c r="N76" s="159">
        <f t="shared" si="2"/>
        <v>1231.71</v>
      </c>
      <c r="P76" s="154">
        <v>361.92</v>
      </c>
      <c r="S76" s="147"/>
      <c r="T76" s="147"/>
      <c r="U76" s="149">
        <f t="shared" si="3"/>
        <v>0</v>
      </c>
      <c r="V76" s="147">
        <v>3</v>
      </c>
    </row>
    <row r="77" spans="1:22" ht="62.25" customHeight="1" x14ac:dyDescent="0.2">
      <c r="A77" s="144" t="s">
        <v>175</v>
      </c>
      <c r="B77" s="163" t="s">
        <v>180</v>
      </c>
      <c r="C77" s="165" t="s">
        <v>181</v>
      </c>
      <c r="D77" s="116" t="s">
        <v>73</v>
      </c>
      <c r="E77" s="147">
        <v>3</v>
      </c>
      <c r="F77" s="149">
        <f t="shared" si="4"/>
        <v>0</v>
      </c>
      <c r="G77" s="147">
        <v>3</v>
      </c>
      <c r="H77" s="149">
        <f t="shared" si="5"/>
        <v>3</v>
      </c>
      <c r="I77" s="149">
        <f t="shared" si="6"/>
        <v>0</v>
      </c>
      <c r="J77" s="154">
        <f t="shared" si="11"/>
        <v>384.53992</v>
      </c>
      <c r="K77" s="149">
        <f t="shared" si="12"/>
        <v>486.21</v>
      </c>
      <c r="L77" s="159">
        <f t="shared" si="1"/>
        <v>1458.63</v>
      </c>
      <c r="M77" s="159">
        <f t="shared" si="9"/>
        <v>1458.6299999999999</v>
      </c>
      <c r="N77" s="159">
        <f t="shared" si="2"/>
        <v>0</v>
      </c>
      <c r="P77" s="154">
        <v>428.6</v>
      </c>
      <c r="S77" s="147"/>
      <c r="T77" s="147"/>
      <c r="U77" s="149">
        <f t="shared" si="3"/>
        <v>0</v>
      </c>
      <c r="V77" s="147">
        <v>3</v>
      </c>
    </row>
    <row r="78" spans="1:22" x14ac:dyDescent="0.2">
      <c r="A78" s="151">
        <v>10</v>
      </c>
      <c r="B78" s="163"/>
      <c r="C78" s="164" t="s">
        <v>183</v>
      </c>
      <c r="D78" s="116" t="s">
        <v>3</v>
      </c>
      <c r="E78" s="147"/>
      <c r="F78" s="149">
        <f t="shared" ref="F78:F79" si="13">U78</f>
        <v>0</v>
      </c>
      <c r="G78" s="147"/>
      <c r="H78" s="149">
        <f t="shared" ref="H78:H79" si="14">F78+G78</f>
        <v>0</v>
      </c>
      <c r="I78" s="149">
        <f t="shared" ref="I78:I79" si="15">E78-H78</f>
        <v>0</v>
      </c>
      <c r="J78" s="154"/>
      <c r="K78" s="149"/>
      <c r="L78" s="159">
        <f t="shared" ref="L78:L79" si="16">ROUND(K78*G78,2)</f>
        <v>0</v>
      </c>
      <c r="M78" s="159">
        <f t="shared" ref="M78:M79" si="17">K78*H78</f>
        <v>0</v>
      </c>
      <c r="N78" s="159">
        <f t="shared" ref="N78:N79" si="18">ROUND(K78*I78,2)</f>
        <v>0</v>
      </c>
      <c r="P78" s="154"/>
      <c r="S78" s="147"/>
      <c r="T78" s="147"/>
      <c r="U78" s="149">
        <f t="shared" ref="U78:U79" si="19">SUM(S78:T78)</f>
        <v>0</v>
      </c>
      <c r="V78" s="147"/>
    </row>
    <row r="79" spans="1:22" x14ac:dyDescent="0.2">
      <c r="A79" s="144" t="s">
        <v>182</v>
      </c>
      <c r="B79" s="163" t="s">
        <v>184</v>
      </c>
      <c r="C79" s="165" t="s">
        <v>185</v>
      </c>
      <c r="D79" s="116" t="s">
        <v>24</v>
      </c>
      <c r="E79" s="147">
        <v>510</v>
      </c>
      <c r="F79" s="149">
        <f t="shared" si="13"/>
        <v>0</v>
      </c>
      <c r="G79" s="147"/>
      <c r="H79" s="149">
        <f t="shared" si="14"/>
        <v>0</v>
      </c>
      <c r="I79" s="149">
        <f t="shared" si="15"/>
        <v>510</v>
      </c>
      <c r="J79" s="154">
        <f t="shared" si="11"/>
        <v>6.9263839999999997</v>
      </c>
      <c r="K79" s="149">
        <f t="shared" si="12"/>
        <v>8.76</v>
      </c>
      <c r="L79" s="159">
        <f t="shared" si="16"/>
        <v>0</v>
      </c>
      <c r="M79" s="159">
        <f t="shared" si="17"/>
        <v>0</v>
      </c>
      <c r="N79" s="159">
        <f t="shared" si="18"/>
        <v>4467.6000000000004</v>
      </c>
      <c r="P79" s="154">
        <v>7.72</v>
      </c>
      <c r="S79" s="147"/>
      <c r="T79" s="147"/>
      <c r="U79" s="149">
        <f t="shared" si="19"/>
        <v>0</v>
      </c>
      <c r="V79" s="147">
        <v>510</v>
      </c>
    </row>
    <row r="83" spans="3:14" x14ac:dyDescent="0.2">
      <c r="C83" s="174"/>
      <c r="D83" s="247"/>
      <c r="E83" s="247"/>
      <c r="F83" s="247"/>
      <c r="G83" s="247"/>
      <c r="H83" s="247"/>
      <c r="I83" s="247"/>
      <c r="J83" s="247"/>
      <c r="K83" s="247"/>
      <c r="L83" s="247"/>
      <c r="M83" s="212"/>
      <c r="N83" s="212"/>
    </row>
    <row r="84" spans="3:14" x14ac:dyDescent="0.2">
      <c r="C84" s="174"/>
      <c r="D84" s="247"/>
      <c r="E84" s="247"/>
      <c r="F84" s="247"/>
      <c r="G84" s="247"/>
      <c r="H84" s="247"/>
      <c r="I84" s="247"/>
      <c r="J84" s="247"/>
      <c r="K84" s="247"/>
      <c r="L84" s="247"/>
      <c r="M84" s="212"/>
      <c r="N84" s="212"/>
    </row>
    <row r="85" spans="3:14" x14ac:dyDescent="0.2">
      <c r="C85" s="175" t="s">
        <v>313</v>
      </c>
    </row>
    <row r="86" spans="3:14" x14ac:dyDescent="0.2">
      <c r="C86" s="176" t="s">
        <v>314</v>
      </c>
    </row>
  </sheetData>
  <mergeCells count="12">
    <mergeCell ref="D84:L84"/>
    <mergeCell ref="A2:L2"/>
    <mergeCell ref="A3:L3"/>
    <mergeCell ref="A4:L4"/>
    <mergeCell ref="A5:L5"/>
    <mergeCell ref="A6:L6"/>
    <mergeCell ref="B7:C7"/>
    <mergeCell ref="W2:W4"/>
    <mergeCell ref="X2:X4"/>
    <mergeCell ref="P2:P4"/>
    <mergeCell ref="V2:V3"/>
    <mergeCell ref="D83:L83"/>
  </mergeCells>
  <printOptions horizontalCentered="1"/>
  <pageMargins left="0.19685039370078741" right="0.19685039370078741" top="0.39370078740157483" bottom="0.39370078740157483" header="0" footer="0.31496062992125984"/>
  <pageSetup paperSize="9" scale="60" fitToHeight="3" orientation="landscape" r:id="rId1"/>
  <headerFooter>
    <oddFooter>&amp;CAv. Irmã Tosta - Maria José Tosta, 61 - Esplanada - Pouso Alegre/MG    l    CNPJ  23.896.707 / 0001-23   l     Tel : (35) 99908.9053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zoomScale="90" zoomScaleNormal="90" workbookViewId="0">
      <selection activeCell="E16" sqref="E16"/>
    </sheetView>
  </sheetViews>
  <sheetFormatPr defaultRowHeight="12.75" x14ac:dyDescent="0.2"/>
  <cols>
    <col min="1" max="1" width="6.5703125" style="120" customWidth="1"/>
    <col min="2" max="2" width="10.28515625" style="120" customWidth="1"/>
    <col min="3" max="3" width="65" style="120" customWidth="1"/>
    <col min="4" max="4" width="6.5703125" style="120" customWidth="1"/>
    <col min="5" max="5" width="13" style="120" customWidth="1"/>
    <col min="6" max="6" width="12.140625" style="120" customWidth="1"/>
    <col min="7" max="7" width="12.28515625" style="120" customWidth="1"/>
    <col min="8" max="8" width="14.28515625" style="120" customWidth="1"/>
    <col min="9" max="9" width="9.28515625" style="120" customWidth="1"/>
    <col min="10" max="10" width="12.140625" style="120" hidden="1" customWidth="1"/>
    <col min="11" max="12" width="10.5703125" style="120" bestFit="1" customWidth="1"/>
    <col min="13" max="13" width="13" style="120" customWidth="1"/>
    <col min="14" max="14" width="9.140625" style="120"/>
    <col min="15" max="15" width="13" style="120" customWidth="1"/>
    <col min="16" max="16384" width="9.140625" style="120"/>
  </cols>
  <sheetData>
    <row r="1" spans="1:15" ht="62.25" customHeight="1" x14ac:dyDescent="0.2">
      <c r="A1" s="117"/>
      <c r="B1" s="118"/>
      <c r="C1" s="118"/>
      <c r="D1" s="118"/>
      <c r="E1" s="118"/>
      <c r="F1" s="118"/>
      <c r="G1" s="118"/>
      <c r="H1" s="118"/>
      <c r="I1" s="119"/>
      <c r="J1" s="119"/>
      <c r="M1" s="118"/>
      <c r="O1" s="118"/>
    </row>
    <row r="2" spans="1:15" ht="39.950000000000003" customHeight="1" x14ac:dyDescent="0.2">
      <c r="A2" s="248" t="s">
        <v>323</v>
      </c>
      <c r="B2" s="249"/>
      <c r="C2" s="249"/>
      <c r="D2" s="249"/>
      <c r="E2" s="249"/>
      <c r="F2" s="249"/>
      <c r="G2" s="249"/>
      <c r="H2" s="249"/>
    </row>
    <row r="3" spans="1:15" x14ac:dyDescent="0.2">
      <c r="A3" s="251" t="s">
        <v>0</v>
      </c>
      <c r="B3" s="251"/>
      <c r="C3" s="251"/>
      <c r="D3" s="251"/>
      <c r="E3" s="251"/>
      <c r="F3" s="251"/>
      <c r="G3" s="251"/>
      <c r="H3" s="251"/>
    </row>
    <row r="4" spans="1:15" x14ac:dyDescent="0.2">
      <c r="A4" s="252" t="s">
        <v>1</v>
      </c>
      <c r="B4" s="252"/>
      <c r="C4" s="252"/>
      <c r="D4" s="252"/>
      <c r="E4" s="252"/>
      <c r="F4" s="252"/>
      <c r="G4" s="252"/>
      <c r="H4" s="252"/>
    </row>
    <row r="5" spans="1:15" x14ac:dyDescent="0.2">
      <c r="A5" s="244" t="s">
        <v>324</v>
      </c>
      <c r="B5" s="244"/>
      <c r="C5" s="244"/>
      <c r="D5" s="244"/>
      <c r="E5" s="244"/>
      <c r="F5" s="244"/>
      <c r="G5" s="244"/>
      <c r="H5" s="244"/>
    </row>
    <row r="6" spans="1:15" x14ac:dyDescent="0.2">
      <c r="A6" s="245" t="s">
        <v>213</v>
      </c>
      <c r="B6" s="245"/>
      <c r="C6" s="245"/>
      <c r="D6" s="245"/>
      <c r="E6" s="245"/>
      <c r="F6" s="245"/>
      <c r="G6" s="245"/>
      <c r="H6" s="245"/>
    </row>
    <row r="7" spans="1:15" x14ac:dyDescent="0.2">
      <c r="A7" s="121" t="s">
        <v>2</v>
      </c>
      <c r="B7" s="246">
        <v>46097</v>
      </c>
      <c r="C7" s="246"/>
      <c r="D7" s="122"/>
      <c r="E7" s="123"/>
      <c r="F7" s="124"/>
      <c r="G7" s="125"/>
      <c r="H7" s="126" t="s">
        <v>3</v>
      </c>
      <c r="J7" s="124">
        <v>0.8972</v>
      </c>
      <c r="M7" s="123"/>
      <c r="O7" s="123"/>
    </row>
    <row r="8" spans="1:15" x14ac:dyDescent="0.2">
      <c r="A8" s="121"/>
      <c r="B8" s="127"/>
      <c r="C8" s="191" t="s">
        <v>362</v>
      </c>
      <c r="D8" s="128"/>
      <c r="E8" s="129"/>
      <c r="F8" s="124"/>
      <c r="G8" s="130" t="s">
        <v>4</v>
      </c>
      <c r="H8" s="131">
        <v>0.26440000000000002</v>
      </c>
      <c r="J8" s="124"/>
      <c r="M8" s="129"/>
      <c r="O8" s="129"/>
    </row>
    <row r="9" spans="1:15" ht="33" customHeight="1" x14ac:dyDescent="0.2">
      <c r="A9" s="132" t="s">
        <v>5</v>
      </c>
      <c r="B9" s="133" t="s">
        <v>6</v>
      </c>
      <c r="C9" s="134" t="s">
        <v>7</v>
      </c>
      <c r="D9" s="135" t="s">
        <v>8</v>
      </c>
      <c r="E9" s="136" t="s">
        <v>9</v>
      </c>
      <c r="F9" s="134" t="s">
        <v>10</v>
      </c>
      <c r="G9" s="134" t="s">
        <v>11</v>
      </c>
      <c r="H9" s="134" t="s">
        <v>12</v>
      </c>
      <c r="J9" s="134" t="s">
        <v>10</v>
      </c>
      <c r="M9" s="136" t="s">
        <v>350</v>
      </c>
      <c r="O9" s="136" t="s">
        <v>349</v>
      </c>
    </row>
    <row r="10" spans="1:15" x14ac:dyDescent="0.2">
      <c r="A10" s="137"/>
      <c r="B10" s="138"/>
      <c r="C10" s="139" t="s">
        <v>13</v>
      </c>
      <c r="D10" s="140"/>
      <c r="E10" s="141">
        <v>1015112.0900000002</v>
      </c>
      <c r="F10" s="142"/>
      <c r="G10" s="142"/>
      <c r="H10" s="143">
        <f>ROUND(H11,2)</f>
        <v>30262.98</v>
      </c>
      <c r="J10" s="142"/>
      <c r="M10" s="141">
        <v>1015112.0900000002</v>
      </c>
      <c r="O10" s="141">
        <v>1015112.0900000002</v>
      </c>
    </row>
    <row r="11" spans="1:15" ht="15.75" customHeight="1" x14ac:dyDescent="0.2">
      <c r="A11" s="144"/>
      <c r="B11" s="145"/>
      <c r="C11" s="146"/>
      <c r="D11" s="116" t="s">
        <v>3</v>
      </c>
      <c r="E11" s="147"/>
      <c r="F11" s="148"/>
      <c r="G11" s="149"/>
      <c r="H11" s="150">
        <f>SUM(H12+H20+H27+H42+H48+H56+H62+H71+H78+H14)</f>
        <v>30262.98</v>
      </c>
      <c r="J11" s="148"/>
      <c r="M11" s="147"/>
      <c r="O11" s="147"/>
    </row>
    <row r="12" spans="1:15" x14ac:dyDescent="0.2">
      <c r="A12" s="151">
        <v>1</v>
      </c>
      <c r="B12" s="152"/>
      <c r="C12" s="153" t="s">
        <v>14</v>
      </c>
      <c r="D12" s="116" t="s">
        <v>3</v>
      </c>
      <c r="E12" s="147"/>
      <c r="F12" s="154"/>
      <c r="G12" s="149"/>
      <c r="H12" s="150">
        <f>SUM(H13:H13)</f>
        <v>0</v>
      </c>
      <c r="J12" s="154"/>
      <c r="M12" s="147"/>
      <c r="O12" s="147"/>
    </row>
    <row r="13" spans="1:15" ht="77.25" customHeight="1" x14ac:dyDescent="0.2">
      <c r="A13" s="155" t="s">
        <v>15</v>
      </c>
      <c r="B13" s="156" t="s">
        <v>16</v>
      </c>
      <c r="C13" s="157" t="s">
        <v>17</v>
      </c>
      <c r="D13" s="158" t="s">
        <v>18</v>
      </c>
      <c r="E13" s="149"/>
      <c r="F13" s="154">
        <f>J13*$J$7</f>
        <v>1055.3494439999999</v>
      </c>
      <c r="G13" s="149">
        <f>ROUND(F13+(F13*$H$8),2)</f>
        <v>1334.38</v>
      </c>
      <c r="H13" s="159">
        <f>E13*G13</f>
        <v>0</v>
      </c>
      <c r="I13" s="160"/>
      <c r="J13" s="154">
        <v>1176.27</v>
      </c>
      <c r="K13" s="161"/>
      <c r="L13" s="161"/>
      <c r="M13" s="149">
        <v>1</v>
      </c>
      <c r="O13" s="149">
        <v>1</v>
      </c>
    </row>
    <row r="14" spans="1:15" ht="18.75" customHeight="1" x14ac:dyDescent="0.2">
      <c r="A14" s="151">
        <v>2</v>
      </c>
      <c r="B14" s="163"/>
      <c r="C14" s="164" t="s">
        <v>28</v>
      </c>
      <c r="D14" s="116"/>
      <c r="E14" s="149"/>
      <c r="F14" s="154"/>
      <c r="G14" s="149"/>
      <c r="H14" s="150">
        <f>SUM(H15:H19)</f>
        <v>15272.79</v>
      </c>
      <c r="J14" s="154"/>
      <c r="M14" s="149"/>
      <c r="O14" s="147"/>
    </row>
    <row r="15" spans="1:15" ht="76.5" customHeight="1" x14ac:dyDescent="0.2">
      <c r="A15" s="144" t="s">
        <v>20</v>
      </c>
      <c r="B15" s="163" t="s">
        <v>29</v>
      </c>
      <c r="C15" s="165" t="s">
        <v>30</v>
      </c>
      <c r="D15" s="116" t="s">
        <v>24</v>
      </c>
      <c r="E15" s="149"/>
      <c r="F15" s="154">
        <f t="shared" ref="F15:F19" si="0">J15*$J$7</f>
        <v>15.548475999999999</v>
      </c>
      <c r="G15" s="149">
        <f t="shared" ref="G15:G41" si="1">ROUND(F15+(F15*$H$8),2)</f>
        <v>19.66</v>
      </c>
      <c r="H15" s="159">
        <f t="shared" ref="H15:H47" si="2">ROUND(E15*G15,2)</f>
        <v>0</v>
      </c>
      <c r="J15" s="166">
        <v>17.329999999999998</v>
      </c>
      <c r="M15" s="149">
        <f>51.04+137.52</f>
        <v>188.56</v>
      </c>
      <c r="O15" s="147">
        <v>188.56</v>
      </c>
    </row>
    <row r="16" spans="1:15" ht="50.25" customHeight="1" x14ac:dyDescent="0.2">
      <c r="A16" s="144" t="s">
        <v>21</v>
      </c>
      <c r="B16" s="163" t="s">
        <v>31</v>
      </c>
      <c r="C16" s="165" t="s">
        <v>32</v>
      </c>
      <c r="D16" s="116" t="s">
        <v>24</v>
      </c>
      <c r="E16" s="149">
        <v>91.57</v>
      </c>
      <c r="F16" s="154">
        <f t="shared" si="0"/>
        <v>9.2770480000000006</v>
      </c>
      <c r="G16" s="149">
        <f t="shared" si="1"/>
        <v>11.73</v>
      </c>
      <c r="H16" s="159">
        <f t="shared" si="2"/>
        <v>1074.1199999999999</v>
      </c>
      <c r="I16" s="202"/>
      <c r="J16" s="154">
        <v>10.34</v>
      </c>
      <c r="M16" s="149">
        <v>96.99</v>
      </c>
      <c r="O16" s="147">
        <v>188.56</v>
      </c>
    </row>
    <row r="17" spans="1:16" ht="40.5" customHeight="1" x14ac:dyDescent="0.2">
      <c r="A17" s="144" t="s">
        <v>22</v>
      </c>
      <c r="B17" s="163" t="s">
        <v>33</v>
      </c>
      <c r="C17" s="165" t="s">
        <v>34</v>
      </c>
      <c r="D17" s="116" t="s">
        <v>24</v>
      </c>
      <c r="E17" s="149">
        <f>35.6+64.56</f>
        <v>100.16</v>
      </c>
      <c r="F17" s="154">
        <f t="shared" si="0"/>
        <v>58.811459999999997</v>
      </c>
      <c r="G17" s="149">
        <f t="shared" si="1"/>
        <v>74.36</v>
      </c>
      <c r="H17" s="159">
        <f t="shared" si="2"/>
        <v>7447.9</v>
      </c>
      <c r="I17" s="202"/>
      <c r="J17" s="154">
        <v>65.55</v>
      </c>
      <c r="M17" s="149">
        <v>4.9800000000000004</v>
      </c>
      <c r="O17" s="147">
        <f>((1.75+1.8)*2*3.1)+(4.3+3+3+2.45)*2.15+(31.5*1.85)</f>
        <v>107.69750000000001</v>
      </c>
    </row>
    <row r="18" spans="1:16" ht="51.75" customHeight="1" x14ac:dyDescent="0.2">
      <c r="A18" s="144" t="s">
        <v>23</v>
      </c>
      <c r="B18" s="163" t="s">
        <v>35</v>
      </c>
      <c r="C18" s="165" t="s">
        <v>36</v>
      </c>
      <c r="D18" s="116" t="s">
        <v>19</v>
      </c>
      <c r="E18" s="149">
        <f>9.7+70.15</f>
        <v>79.850000000000009</v>
      </c>
      <c r="F18" s="154">
        <f t="shared" si="0"/>
        <v>19.280828</v>
      </c>
      <c r="G18" s="149">
        <f t="shared" si="1"/>
        <v>24.38</v>
      </c>
      <c r="H18" s="159">
        <f t="shared" si="2"/>
        <v>1946.74</v>
      </c>
      <c r="I18" s="202"/>
      <c r="J18" s="154">
        <v>21.49</v>
      </c>
      <c r="M18" s="149"/>
      <c r="O18" s="203">
        <v>79.849999999999994</v>
      </c>
      <c r="P18" s="203"/>
    </row>
    <row r="19" spans="1:16" ht="42" customHeight="1" x14ac:dyDescent="0.2">
      <c r="A19" s="144" t="s">
        <v>27</v>
      </c>
      <c r="B19" s="163" t="s">
        <v>37</v>
      </c>
      <c r="C19" s="165" t="s">
        <v>38</v>
      </c>
      <c r="D19" s="116" t="s">
        <v>24</v>
      </c>
      <c r="E19" s="149">
        <v>114.6</v>
      </c>
      <c r="F19" s="154">
        <f t="shared" si="0"/>
        <v>33.151540000000004</v>
      </c>
      <c r="G19" s="149">
        <f>ROUND(F19+(F19*$H$8),2)</f>
        <v>41.92</v>
      </c>
      <c r="H19" s="159">
        <f t="shared" si="2"/>
        <v>4804.03</v>
      </c>
      <c r="I19" s="168"/>
      <c r="J19" s="154">
        <v>36.950000000000003</v>
      </c>
      <c r="L19" s="168"/>
      <c r="M19" s="149">
        <v>73.959999999999994</v>
      </c>
      <c r="O19" s="147">
        <v>188.56</v>
      </c>
      <c r="P19" s="168"/>
    </row>
    <row r="20" spans="1:16" x14ac:dyDescent="0.2">
      <c r="A20" s="151">
        <v>3</v>
      </c>
      <c r="B20" s="163"/>
      <c r="C20" s="164" t="s">
        <v>40</v>
      </c>
      <c r="D20" s="116" t="s">
        <v>3</v>
      </c>
      <c r="E20" s="149"/>
      <c r="F20" s="154"/>
      <c r="G20" s="149"/>
      <c r="H20" s="150">
        <f>SUM(H21:H26)</f>
        <v>0</v>
      </c>
      <c r="J20" s="154"/>
      <c r="M20" s="149"/>
      <c r="O20" s="147"/>
    </row>
    <row r="21" spans="1:16" ht="61.5" customHeight="1" x14ac:dyDescent="0.2">
      <c r="A21" s="144" t="s">
        <v>41</v>
      </c>
      <c r="B21" s="163" t="s">
        <v>39</v>
      </c>
      <c r="C21" s="165" t="s">
        <v>42</v>
      </c>
      <c r="D21" s="116" t="s">
        <v>25</v>
      </c>
      <c r="E21" s="149"/>
      <c r="F21" s="154">
        <f t="shared" ref="F21:F25" si="3">J21*$J$7</f>
        <v>19.191108</v>
      </c>
      <c r="G21" s="149">
        <f t="shared" si="1"/>
        <v>24.27</v>
      </c>
      <c r="H21" s="159">
        <f t="shared" si="2"/>
        <v>0</v>
      </c>
      <c r="J21" s="154">
        <v>21.39</v>
      </c>
      <c r="K21" s="168"/>
      <c r="M21" s="149"/>
      <c r="O21" s="147">
        <v>216</v>
      </c>
    </row>
    <row r="22" spans="1:16" ht="63" customHeight="1" x14ac:dyDescent="0.2">
      <c r="A22" s="144" t="s">
        <v>43</v>
      </c>
      <c r="B22" s="163" t="s">
        <v>44</v>
      </c>
      <c r="C22" s="165" t="s">
        <v>45</v>
      </c>
      <c r="D22" s="116" t="s">
        <v>26</v>
      </c>
      <c r="E22" s="149"/>
      <c r="F22" s="154">
        <f t="shared" si="3"/>
        <v>282.600056</v>
      </c>
      <c r="G22" s="149">
        <f t="shared" si="1"/>
        <v>357.32</v>
      </c>
      <c r="H22" s="159">
        <f t="shared" si="2"/>
        <v>0</v>
      </c>
      <c r="J22" s="154">
        <v>314.98</v>
      </c>
      <c r="M22" s="149"/>
      <c r="O22" s="147">
        <v>19.600000000000001</v>
      </c>
      <c r="P22" s="168"/>
    </row>
    <row r="23" spans="1:16" ht="48.75" customHeight="1" x14ac:dyDescent="0.2">
      <c r="A23" s="144" t="s">
        <v>50</v>
      </c>
      <c r="B23" s="163" t="s">
        <v>46</v>
      </c>
      <c r="C23" s="165" t="s">
        <v>47</v>
      </c>
      <c r="D23" s="116" t="s">
        <v>24</v>
      </c>
      <c r="E23" s="149"/>
      <c r="F23" s="154">
        <f t="shared" si="3"/>
        <v>96.359279999999998</v>
      </c>
      <c r="G23" s="149">
        <f t="shared" si="1"/>
        <v>121.84</v>
      </c>
      <c r="H23" s="159">
        <f t="shared" si="2"/>
        <v>0</v>
      </c>
      <c r="J23" s="154">
        <v>107.4</v>
      </c>
      <c r="M23" s="149"/>
      <c r="O23" s="147">
        <v>19.600000000000001</v>
      </c>
      <c r="P23" s="168"/>
    </row>
    <row r="24" spans="1:16" ht="42.75" customHeight="1" x14ac:dyDescent="0.2">
      <c r="A24" s="144" t="s">
        <v>53</v>
      </c>
      <c r="B24" s="163" t="s">
        <v>48</v>
      </c>
      <c r="C24" s="165" t="s">
        <v>49</v>
      </c>
      <c r="D24" s="116" t="s">
        <v>19</v>
      </c>
      <c r="E24" s="149"/>
      <c r="F24" s="154">
        <f t="shared" si="3"/>
        <v>42.285036000000005</v>
      </c>
      <c r="G24" s="149">
        <f t="shared" si="1"/>
        <v>53.47</v>
      </c>
      <c r="H24" s="159">
        <f t="shared" si="2"/>
        <v>0</v>
      </c>
      <c r="I24" s="168"/>
      <c r="J24" s="154">
        <v>47.13</v>
      </c>
      <c r="M24" s="149"/>
      <c r="O24" s="147">
        <v>5.75</v>
      </c>
      <c r="P24" s="168"/>
    </row>
    <row r="25" spans="1:16" ht="39" customHeight="1" x14ac:dyDescent="0.2">
      <c r="A25" s="144" t="s">
        <v>194</v>
      </c>
      <c r="B25" s="163" t="s">
        <v>51</v>
      </c>
      <c r="C25" s="165" t="s">
        <v>52</v>
      </c>
      <c r="D25" s="116" t="s">
        <v>19</v>
      </c>
      <c r="E25" s="149"/>
      <c r="F25" s="154">
        <f t="shared" si="3"/>
        <v>51.624887999999999</v>
      </c>
      <c r="G25" s="149">
        <f t="shared" si="1"/>
        <v>65.27</v>
      </c>
      <c r="H25" s="159">
        <f t="shared" si="2"/>
        <v>0</v>
      </c>
      <c r="J25" s="154">
        <v>57.54</v>
      </c>
      <c r="M25" s="149"/>
      <c r="O25" s="147">
        <v>5.75</v>
      </c>
    </row>
    <row r="26" spans="1:16" ht="41.25" customHeight="1" x14ac:dyDescent="0.2">
      <c r="A26" s="144" t="s">
        <v>200</v>
      </c>
      <c r="B26" s="163" t="s">
        <v>54</v>
      </c>
      <c r="C26" s="165" t="s">
        <v>55</v>
      </c>
      <c r="D26" s="116" t="s">
        <v>19</v>
      </c>
      <c r="E26" s="149"/>
      <c r="F26" s="154">
        <f>J26*$J$7</f>
        <v>76.899011999999999</v>
      </c>
      <c r="G26" s="149">
        <f t="shared" si="1"/>
        <v>97.23</v>
      </c>
      <c r="H26" s="159">
        <f t="shared" si="2"/>
        <v>0</v>
      </c>
      <c r="J26" s="154">
        <v>85.71</v>
      </c>
      <c r="M26" s="149"/>
      <c r="O26" s="147">
        <v>6</v>
      </c>
    </row>
    <row r="27" spans="1:16" x14ac:dyDescent="0.2">
      <c r="A27" s="151">
        <v>4</v>
      </c>
      <c r="B27" s="163"/>
      <c r="C27" s="164" t="s">
        <v>56</v>
      </c>
      <c r="D27" s="116" t="s">
        <v>3</v>
      </c>
      <c r="E27" s="149"/>
      <c r="F27" s="154"/>
      <c r="G27" s="149"/>
      <c r="H27" s="150">
        <f>SUM(H28:H41)</f>
        <v>12835.63</v>
      </c>
      <c r="J27" s="154"/>
      <c r="M27" s="149"/>
      <c r="O27" s="147"/>
    </row>
    <row r="28" spans="1:16" ht="63.75" customHeight="1" x14ac:dyDescent="0.2">
      <c r="A28" s="144" t="s">
        <v>60</v>
      </c>
      <c r="B28" s="163" t="s">
        <v>57</v>
      </c>
      <c r="C28" s="165" t="s">
        <v>58</v>
      </c>
      <c r="D28" s="116" t="s">
        <v>59</v>
      </c>
      <c r="E28" s="149"/>
      <c r="F28" s="154">
        <f t="shared" ref="F28:F79" si="4">J28*$J$7</f>
        <v>40.158671999999996</v>
      </c>
      <c r="G28" s="149">
        <f t="shared" si="1"/>
        <v>50.78</v>
      </c>
      <c r="H28" s="159">
        <f t="shared" si="2"/>
        <v>0</v>
      </c>
      <c r="J28" s="154">
        <v>44.76</v>
      </c>
      <c r="M28" s="149">
        <v>6</v>
      </c>
      <c r="O28" s="147">
        <v>6</v>
      </c>
    </row>
    <row r="29" spans="1:16" ht="84" customHeight="1" x14ac:dyDescent="0.2">
      <c r="A29" s="144" t="s">
        <v>64</v>
      </c>
      <c r="B29" s="169" t="s">
        <v>61</v>
      </c>
      <c r="C29" s="165" t="s">
        <v>62</v>
      </c>
      <c r="D29" s="116" t="s">
        <v>63</v>
      </c>
      <c r="E29" s="149">
        <v>3</v>
      </c>
      <c r="F29" s="154">
        <f t="shared" si="4"/>
        <v>149.42866000000001</v>
      </c>
      <c r="G29" s="149">
        <f>ROUND(F29+(F29*$H$8),2)</f>
        <v>188.94</v>
      </c>
      <c r="H29" s="159">
        <f>ROUND(E29*G29,2)</f>
        <v>566.82000000000005</v>
      </c>
      <c r="J29" s="154">
        <v>166.55</v>
      </c>
      <c r="K29" s="168"/>
      <c r="L29" s="168"/>
      <c r="M29" s="149"/>
      <c r="O29" s="147">
        <v>3</v>
      </c>
    </row>
    <row r="30" spans="1:16" ht="59.25" customHeight="1" x14ac:dyDescent="0.2">
      <c r="A30" s="144" t="s">
        <v>67</v>
      </c>
      <c r="B30" s="163" t="s">
        <v>65</v>
      </c>
      <c r="C30" s="165" t="s">
        <v>66</v>
      </c>
      <c r="D30" s="116" t="s">
        <v>63</v>
      </c>
      <c r="E30" s="149">
        <v>3</v>
      </c>
      <c r="F30" s="154">
        <f t="shared" si="4"/>
        <v>274.49833999999998</v>
      </c>
      <c r="G30" s="149">
        <f t="shared" si="1"/>
        <v>347.08</v>
      </c>
      <c r="H30" s="159">
        <f t="shared" si="2"/>
        <v>1041.24</v>
      </c>
      <c r="J30" s="154">
        <v>305.95</v>
      </c>
      <c r="M30" s="149"/>
      <c r="O30" s="147">
        <v>3</v>
      </c>
    </row>
    <row r="31" spans="1:16" ht="76.5" x14ac:dyDescent="0.2">
      <c r="A31" s="144" t="s">
        <v>70</v>
      </c>
      <c r="B31" s="163" t="s">
        <v>68</v>
      </c>
      <c r="C31" s="165" t="s">
        <v>69</v>
      </c>
      <c r="D31" s="116" t="s">
        <v>63</v>
      </c>
      <c r="E31" s="149">
        <v>4</v>
      </c>
      <c r="F31" s="154">
        <f t="shared" si="4"/>
        <v>196.71109999999999</v>
      </c>
      <c r="G31" s="149">
        <f t="shared" si="1"/>
        <v>248.72</v>
      </c>
      <c r="H31" s="159">
        <f t="shared" si="2"/>
        <v>994.88</v>
      </c>
      <c r="J31" s="154">
        <v>219.25</v>
      </c>
      <c r="K31" s="168"/>
      <c r="M31" s="149"/>
      <c r="O31" s="147">
        <v>4</v>
      </c>
    </row>
    <row r="32" spans="1:16" ht="25.5" x14ac:dyDescent="0.2">
      <c r="A32" s="144" t="s">
        <v>74</v>
      </c>
      <c r="B32" s="163" t="s">
        <v>71</v>
      </c>
      <c r="C32" s="165" t="s">
        <v>72</v>
      </c>
      <c r="D32" s="116" t="s">
        <v>73</v>
      </c>
      <c r="E32" s="149">
        <v>4</v>
      </c>
      <c r="F32" s="154">
        <f t="shared" si="4"/>
        <v>61.512032000000005</v>
      </c>
      <c r="G32" s="149">
        <f t="shared" si="1"/>
        <v>77.78</v>
      </c>
      <c r="H32" s="159">
        <f t="shared" si="2"/>
        <v>311.12</v>
      </c>
      <c r="J32" s="154">
        <v>68.56</v>
      </c>
      <c r="K32" s="168"/>
      <c r="M32" s="149"/>
      <c r="O32" s="147">
        <v>4</v>
      </c>
    </row>
    <row r="33" spans="1:15" ht="63.75" x14ac:dyDescent="0.2">
      <c r="A33" s="144" t="s">
        <v>76</v>
      </c>
      <c r="B33" s="169" t="s">
        <v>75</v>
      </c>
      <c r="C33" s="165" t="s">
        <v>195</v>
      </c>
      <c r="D33" s="116" t="s">
        <v>73</v>
      </c>
      <c r="E33" s="149">
        <v>6</v>
      </c>
      <c r="F33" s="154">
        <f t="shared" si="4"/>
        <v>123.63416000000001</v>
      </c>
      <c r="G33" s="149">
        <f t="shared" si="1"/>
        <v>156.32</v>
      </c>
      <c r="H33" s="159">
        <f t="shared" si="2"/>
        <v>937.92</v>
      </c>
      <c r="J33" s="154">
        <v>137.80000000000001</v>
      </c>
      <c r="M33" s="149"/>
      <c r="O33" s="147">
        <v>6</v>
      </c>
    </row>
    <row r="34" spans="1:15" ht="51" x14ac:dyDescent="0.2">
      <c r="A34" s="144" t="s">
        <v>201</v>
      </c>
      <c r="B34" s="163" t="s">
        <v>77</v>
      </c>
      <c r="C34" s="165" t="s">
        <v>78</v>
      </c>
      <c r="D34" s="116" t="s">
        <v>73</v>
      </c>
      <c r="E34" s="149">
        <v>1</v>
      </c>
      <c r="F34" s="154">
        <f t="shared" si="4"/>
        <v>800.02426800000001</v>
      </c>
      <c r="G34" s="149">
        <f t="shared" si="1"/>
        <v>1011.55</v>
      </c>
      <c r="H34" s="159">
        <f t="shared" si="2"/>
        <v>1011.55</v>
      </c>
      <c r="J34" s="154">
        <v>891.69</v>
      </c>
      <c r="M34" s="149"/>
      <c r="O34" s="147">
        <v>1</v>
      </c>
    </row>
    <row r="35" spans="1:15" ht="21.75" customHeight="1" x14ac:dyDescent="0.2">
      <c r="A35" s="144" t="s">
        <v>202</v>
      </c>
      <c r="B35" s="163" t="s">
        <v>79</v>
      </c>
      <c r="C35" s="165" t="s">
        <v>80</v>
      </c>
      <c r="D35" s="116" t="s">
        <v>73</v>
      </c>
      <c r="E35" s="149">
        <v>4</v>
      </c>
      <c r="F35" s="154">
        <f t="shared" si="4"/>
        <v>18.177272000000002</v>
      </c>
      <c r="G35" s="149">
        <f t="shared" si="1"/>
        <v>22.98</v>
      </c>
      <c r="H35" s="159">
        <f t="shared" si="2"/>
        <v>91.92</v>
      </c>
      <c r="J35" s="154">
        <v>20.260000000000002</v>
      </c>
      <c r="M35" s="149"/>
      <c r="O35" s="147">
        <v>4</v>
      </c>
    </row>
    <row r="36" spans="1:15" ht="25.5" x14ac:dyDescent="0.2">
      <c r="A36" s="144" t="s">
        <v>203</v>
      </c>
      <c r="B36" s="163" t="s">
        <v>81</v>
      </c>
      <c r="C36" s="165" t="s">
        <v>82</v>
      </c>
      <c r="D36" s="116" t="s">
        <v>73</v>
      </c>
      <c r="E36" s="149">
        <v>4</v>
      </c>
      <c r="F36" s="154">
        <f t="shared" si="4"/>
        <v>51.983767999999998</v>
      </c>
      <c r="G36" s="149">
        <f t="shared" si="1"/>
        <v>65.73</v>
      </c>
      <c r="H36" s="159">
        <f t="shared" si="2"/>
        <v>262.92</v>
      </c>
      <c r="J36" s="154">
        <v>57.94</v>
      </c>
      <c r="M36" s="149"/>
      <c r="O36" s="147">
        <v>4</v>
      </c>
    </row>
    <row r="37" spans="1:15" ht="38.25" x14ac:dyDescent="0.2">
      <c r="A37" s="144" t="s">
        <v>204</v>
      </c>
      <c r="B37" s="163" t="s">
        <v>83</v>
      </c>
      <c r="C37" s="165" t="s">
        <v>84</v>
      </c>
      <c r="D37" s="116" t="s">
        <v>73</v>
      </c>
      <c r="E37" s="149">
        <v>4</v>
      </c>
      <c r="F37" s="154">
        <f t="shared" si="4"/>
        <v>92.285991999999993</v>
      </c>
      <c r="G37" s="149">
        <f t="shared" si="1"/>
        <v>116.69</v>
      </c>
      <c r="H37" s="159">
        <f t="shared" si="2"/>
        <v>466.76</v>
      </c>
      <c r="J37" s="154">
        <v>102.86</v>
      </c>
      <c r="M37" s="149"/>
      <c r="O37" s="147">
        <v>4</v>
      </c>
    </row>
    <row r="38" spans="1:15" ht="38.25" x14ac:dyDescent="0.2">
      <c r="A38" s="144" t="s">
        <v>205</v>
      </c>
      <c r="B38" s="163" t="s">
        <v>85</v>
      </c>
      <c r="C38" s="165" t="s">
        <v>86</v>
      </c>
      <c r="D38" s="116" t="s">
        <v>19</v>
      </c>
      <c r="E38" s="149">
        <v>18</v>
      </c>
      <c r="F38" s="154">
        <f t="shared" si="4"/>
        <v>36.704451999999996</v>
      </c>
      <c r="G38" s="149">
        <f t="shared" si="1"/>
        <v>46.41</v>
      </c>
      <c r="H38" s="159">
        <f t="shared" si="2"/>
        <v>835.38</v>
      </c>
      <c r="I38" s="170"/>
      <c r="J38" s="154">
        <v>40.909999999999997</v>
      </c>
      <c r="M38" s="149"/>
      <c r="O38" s="147">
        <v>18</v>
      </c>
    </row>
    <row r="39" spans="1:15" ht="40.5" customHeight="1" x14ac:dyDescent="0.2">
      <c r="A39" s="144" t="s">
        <v>206</v>
      </c>
      <c r="B39" s="163" t="s">
        <v>87</v>
      </c>
      <c r="C39" s="165" t="s">
        <v>88</v>
      </c>
      <c r="D39" s="116" t="s">
        <v>19</v>
      </c>
      <c r="E39" s="149">
        <v>36</v>
      </c>
      <c r="F39" s="154">
        <f t="shared" si="4"/>
        <v>118.81619600000001</v>
      </c>
      <c r="G39" s="149">
        <f t="shared" si="1"/>
        <v>150.22999999999999</v>
      </c>
      <c r="H39" s="159">
        <f t="shared" si="2"/>
        <v>5408.28</v>
      </c>
      <c r="I39" s="170"/>
      <c r="J39" s="154">
        <v>132.43</v>
      </c>
      <c r="M39" s="149"/>
      <c r="O39" s="147">
        <v>36</v>
      </c>
    </row>
    <row r="40" spans="1:15" ht="25.5" customHeight="1" x14ac:dyDescent="0.2">
      <c r="A40" s="144" t="s">
        <v>207</v>
      </c>
      <c r="B40" s="163" t="s">
        <v>89</v>
      </c>
      <c r="C40" s="165" t="s">
        <v>90</v>
      </c>
      <c r="D40" s="116" t="s">
        <v>19</v>
      </c>
      <c r="E40" s="149">
        <v>18</v>
      </c>
      <c r="F40" s="154">
        <f t="shared" si="4"/>
        <v>18.957836</v>
      </c>
      <c r="G40" s="149">
        <f t="shared" si="1"/>
        <v>23.97</v>
      </c>
      <c r="H40" s="159">
        <f t="shared" si="2"/>
        <v>431.46</v>
      </c>
      <c r="I40" s="170"/>
      <c r="J40" s="154">
        <v>21.13</v>
      </c>
      <c r="M40" s="149"/>
      <c r="O40" s="147">
        <v>18</v>
      </c>
    </row>
    <row r="41" spans="1:15" ht="26.25" customHeight="1" x14ac:dyDescent="0.2">
      <c r="A41" s="144" t="s">
        <v>208</v>
      </c>
      <c r="B41" s="163" t="s">
        <v>91</v>
      </c>
      <c r="C41" s="165" t="s">
        <v>92</v>
      </c>
      <c r="D41" s="116" t="s">
        <v>19</v>
      </c>
      <c r="E41" s="149">
        <v>18</v>
      </c>
      <c r="F41" s="154">
        <f t="shared" si="4"/>
        <v>20.886816</v>
      </c>
      <c r="G41" s="149">
        <f t="shared" si="1"/>
        <v>26.41</v>
      </c>
      <c r="H41" s="159">
        <f t="shared" si="2"/>
        <v>475.38</v>
      </c>
      <c r="I41" s="170"/>
      <c r="J41" s="154">
        <v>23.28</v>
      </c>
      <c r="M41" s="149"/>
      <c r="O41" s="147">
        <v>18</v>
      </c>
    </row>
    <row r="42" spans="1:15" x14ac:dyDescent="0.2">
      <c r="A42" s="151">
        <v>5</v>
      </c>
      <c r="B42" s="171"/>
      <c r="C42" s="164" t="s">
        <v>93</v>
      </c>
      <c r="D42" s="158" t="s">
        <v>3</v>
      </c>
      <c r="E42" s="149"/>
      <c r="F42" s="172"/>
      <c r="G42" s="149"/>
      <c r="H42" s="173">
        <f>SUM(H43:H47)</f>
        <v>2154.56</v>
      </c>
      <c r="J42" s="172"/>
      <c r="M42" s="149"/>
      <c r="O42" s="147"/>
    </row>
    <row r="43" spans="1:15" ht="65.25" customHeight="1" x14ac:dyDescent="0.2">
      <c r="A43" s="144" t="s">
        <v>96</v>
      </c>
      <c r="B43" s="171" t="s">
        <v>94</v>
      </c>
      <c r="C43" s="165" t="s">
        <v>95</v>
      </c>
      <c r="D43" s="158" t="s">
        <v>26</v>
      </c>
      <c r="E43" s="149"/>
      <c r="F43" s="154">
        <f t="shared" si="4"/>
        <v>19.325688</v>
      </c>
      <c r="G43" s="149">
        <f t="shared" ref="G43:G79" si="5">ROUND(F43+(F43*$H$8),2)</f>
        <v>24.44</v>
      </c>
      <c r="H43" s="159">
        <f t="shared" si="2"/>
        <v>0</v>
      </c>
      <c r="J43" s="172">
        <v>21.54</v>
      </c>
      <c r="M43" s="149">
        <f>71.96+116.6</f>
        <v>188.56</v>
      </c>
      <c r="O43" s="147">
        <v>188.56</v>
      </c>
    </row>
    <row r="44" spans="1:15" ht="55.5" customHeight="1" x14ac:dyDescent="0.2">
      <c r="A44" s="144" t="s">
        <v>99</v>
      </c>
      <c r="B44" s="163" t="s">
        <v>97</v>
      </c>
      <c r="C44" s="165" t="s">
        <v>98</v>
      </c>
      <c r="D44" s="116" t="s">
        <v>24</v>
      </c>
      <c r="E44" s="149"/>
      <c r="F44" s="154">
        <f t="shared" si="4"/>
        <v>64.104939999999999</v>
      </c>
      <c r="G44" s="149">
        <f t="shared" si="5"/>
        <v>81.05</v>
      </c>
      <c r="H44" s="159">
        <f t="shared" si="2"/>
        <v>0</v>
      </c>
      <c r="J44" s="154">
        <v>71.45</v>
      </c>
      <c r="M44" s="149"/>
      <c r="O44" s="147">
        <v>188.56</v>
      </c>
    </row>
    <row r="45" spans="1:15" ht="32.25" customHeight="1" x14ac:dyDescent="0.2">
      <c r="A45" s="144" t="s">
        <v>102</v>
      </c>
      <c r="B45" s="163" t="s">
        <v>100</v>
      </c>
      <c r="C45" s="165" t="s">
        <v>101</v>
      </c>
      <c r="D45" s="116" t="s">
        <v>24</v>
      </c>
      <c r="E45" s="149"/>
      <c r="F45" s="154">
        <f t="shared" si="4"/>
        <v>39.745959999999997</v>
      </c>
      <c r="G45" s="149">
        <f t="shared" si="5"/>
        <v>50.25</v>
      </c>
      <c r="H45" s="159">
        <f t="shared" si="2"/>
        <v>0</v>
      </c>
      <c r="J45" s="154">
        <v>44.3</v>
      </c>
      <c r="M45" s="149"/>
      <c r="O45" s="147">
        <v>21.2</v>
      </c>
    </row>
    <row r="46" spans="1:15" ht="25.5" customHeight="1" x14ac:dyDescent="0.2">
      <c r="A46" s="144" t="s">
        <v>103</v>
      </c>
      <c r="B46" s="163" t="s">
        <v>196</v>
      </c>
      <c r="C46" s="165" t="s">
        <v>197</v>
      </c>
      <c r="D46" s="116" t="s">
        <v>26</v>
      </c>
      <c r="E46" s="149"/>
      <c r="F46" s="154">
        <f t="shared" si="4"/>
        <v>26.916</v>
      </c>
      <c r="G46" s="149">
        <f t="shared" si="5"/>
        <v>34.03</v>
      </c>
      <c r="H46" s="159">
        <f t="shared" si="2"/>
        <v>0</v>
      </c>
      <c r="I46" s="168"/>
      <c r="J46" s="154">
        <v>30</v>
      </c>
      <c r="M46" s="149"/>
      <c r="O46" s="147">
        <v>221</v>
      </c>
    </row>
    <row r="47" spans="1:15" ht="52.5" customHeight="1" x14ac:dyDescent="0.2">
      <c r="A47" s="144" t="s">
        <v>106</v>
      </c>
      <c r="B47" s="163" t="s">
        <v>104</v>
      </c>
      <c r="C47" s="165" t="s">
        <v>105</v>
      </c>
      <c r="D47" s="116" t="s">
        <v>24</v>
      </c>
      <c r="E47" s="149">
        <v>21.2</v>
      </c>
      <c r="F47" s="154">
        <f t="shared" si="4"/>
        <v>80.380148000000005</v>
      </c>
      <c r="G47" s="149">
        <f t="shared" si="5"/>
        <v>101.63</v>
      </c>
      <c r="H47" s="159">
        <f t="shared" si="2"/>
        <v>2154.56</v>
      </c>
      <c r="J47" s="154">
        <v>89.59</v>
      </c>
      <c r="M47" s="149"/>
      <c r="N47" s="168"/>
      <c r="O47" s="147">
        <v>21.2</v>
      </c>
    </row>
    <row r="48" spans="1:15" x14ac:dyDescent="0.2">
      <c r="A48" s="151">
        <v>6</v>
      </c>
      <c r="B48" s="163"/>
      <c r="C48" s="164" t="s">
        <v>107</v>
      </c>
      <c r="D48" s="116" t="s">
        <v>3</v>
      </c>
      <c r="E48" s="149"/>
      <c r="F48" s="154"/>
      <c r="G48" s="149"/>
      <c r="H48" s="150">
        <f>SUM(H49:H55)</f>
        <v>0</v>
      </c>
      <c r="J48" s="154"/>
      <c r="M48" s="149"/>
      <c r="O48" s="147"/>
    </row>
    <row r="49" spans="1:15" ht="57.75" customHeight="1" x14ac:dyDescent="0.2">
      <c r="A49" s="144" t="s">
        <v>110</v>
      </c>
      <c r="B49" s="163" t="s">
        <v>108</v>
      </c>
      <c r="C49" s="165" t="s">
        <v>109</v>
      </c>
      <c r="D49" s="116" t="s">
        <v>26</v>
      </c>
      <c r="E49" s="149"/>
      <c r="F49" s="154">
        <f t="shared" si="4"/>
        <v>17.396708</v>
      </c>
      <c r="G49" s="149">
        <f t="shared" si="5"/>
        <v>22</v>
      </c>
      <c r="H49" s="159">
        <f t="shared" ref="H49:H55" si="6">ROUND(E49*G49,2)</f>
        <v>0</v>
      </c>
      <c r="J49" s="154">
        <v>19.39</v>
      </c>
      <c r="M49" s="149">
        <v>15.5</v>
      </c>
      <c r="O49" s="147">
        <v>15.5</v>
      </c>
    </row>
    <row r="50" spans="1:15" ht="51.75" customHeight="1" x14ac:dyDescent="0.2">
      <c r="A50" s="144" t="s">
        <v>113</v>
      </c>
      <c r="B50" s="163" t="s">
        <v>111</v>
      </c>
      <c r="C50" s="165" t="s">
        <v>112</v>
      </c>
      <c r="D50" s="116" t="s">
        <v>73</v>
      </c>
      <c r="E50" s="149"/>
      <c r="F50" s="154">
        <f t="shared" si="4"/>
        <v>311.73214000000002</v>
      </c>
      <c r="G50" s="149">
        <f t="shared" si="5"/>
        <v>394.15</v>
      </c>
      <c r="H50" s="159">
        <f t="shared" si="6"/>
        <v>0</v>
      </c>
      <c r="J50" s="154">
        <v>347.45</v>
      </c>
      <c r="M50" s="149"/>
      <c r="O50" s="147">
        <v>4</v>
      </c>
    </row>
    <row r="51" spans="1:15" ht="53.25" customHeight="1" x14ac:dyDescent="0.2">
      <c r="A51" s="144" t="s">
        <v>116</v>
      </c>
      <c r="B51" s="163" t="s">
        <v>114</v>
      </c>
      <c r="C51" s="165" t="s">
        <v>115</v>
      </c>
      <c r="D51" s="116" t="s">
        <v>73</v>
      </c>
      <c r="E51" s="149"/>
      <c r="F51" s="154">
        <f t="shared" si="4"/>
        <v>308.25100399999997</v>
      </c>
      <c r="G51" s="149">
        <f t="shared" si="5"/>
        <v>389.75</v>
      </c>
      <c r="H51" s="159">
        <f t="shared" si="6"/>
        <v>0</v>
      </c>
      <c r="J51" s="154">
        <v>343.57</v>
      </c>
      <c r="M51" s="149"/>
      <c r="O51" s="147">
        <v>4</v>
      </c>
    </row>
    <row r="52" spans="1:15" ht="52.5" customHeight="1" x14ac:dyDescent="0.2">
      <c r="A52" s="144" t="s">
        <v>121</v>
      </c>
      <c r="B52" s="163" t="s">
        <v>117</v>
      </c>
      <c r="C52" s="165" t="s">
        <v>118</v>
      </c>
      <c r="D52" s="116" t="s">
        <v>24</v>
      </c>
      <c r="E52" s="149"/>
      <c r="F52" s="154">
        <f t="shared" si="4"/>
        <v>328.19576000000001</v>
      </c>
      <c r="G52" s="149">
        <f t="shared" si="5"/>
        <v>414.97</v>
      </c>
      <c r="H52" s="159">
        <f t="shared" si="6"/>
        <v>0</v>
      </c>
      <c r="J52" s="154">
        <v>365.8</v>
      </c>
      <c r="M52" s="149"/>
      <c r="O52" s="147">
        <v>17.7</v>
      </c>
    </row>
    <row r="53" spans="1:15" ht="52.5" customHeight="1" x14ac:dyDescent="0.2">
      <c r="A53" s="144" t="s">
        <v>124</v>
      </c>
      <c r="B53" s="163" t="s">
        <v>119</v>
      </c>
      <c r="C53" s="165" t="s">
        <v>120</v>
      </c>
      <c r="D53" s="116" t="s">
        <v>24</v>
      </c>
      <c r="E53" s="149"/>
      <c r="F53" s="154">
        <f t="shared" si="4"/>
        <v>401.48802799999999</v>
      </c>
      <c r="G53" s="149">
        <f t="shared" si="5"/>
        <v>507.64</v>
      </c>
      <c r="H53" s="159">
        <f t="shared" si="6"/>
        <v>0</v>
      </c>
      <c r="J53" s="154">
        <v>447.49</v>
      </c>
      <c r="M53" s="149"/>
      <c r="O53" s="147">
        <v>8</v>
      </c>
    </row>
    <row r="54" spans="1:15" ht="63.75" x14ac:dyDescent="0.2">
      <c r="A54" s="144" t="s">
        <v>209</v>
      </c>
      <c r="B54" s="163" t="s">
        <v>122</v>
      </c>
      <c r="C54" s="165" t="s">
        <v>123</v>
      </c>
      <c r="D54" s="116" t="s">
        <v>73</v>
      </c>
      <c r="E54" s="149"/>
      <c r="F54" s="154">
        <f t="shared" si="4"/>
        <v>101.903976</v>
      </c>
      <c r="G54" s="149">
        <f t="shared" si="5"/>
        <v>128.85</v>
      </c>
      <c r="H54" s="159">
        <f t="shared" si="6"/>
        <v>0</v>
      </c>
      <c r="J54" s="154">
        <v>113.58</v>
      </c>
      <c r="M54" s="149"/>
      <c r="O54" s="147">
        <v>4</v>
      </c>
    </row>
    <row r="55" spans="1:15" ht="42" customHeight="1" x14ac:dyDescent="0.2">
      <c r="A55" s="144" t="s">
        <v>210</v>
      </c>
      <c r="B55" s="163" t="s">
        <v>125</v>
      </c>
      <c r="C55" s="165" t="s">
        <v>126</v>
      </c>
      <c r="D55" s="116" t="s">
        <v>73</v>
      </c>
      <c r="E55" s="147"/>
      <c r="F55" s="154">
        <f t="shared" si="4"/>
        <v>21.550743999999998</v>
      </c>
      <c r="G55" s="149">
        <f t="shared" si="5"/>
        <v>27.25</v>
      </c>
      <c r="H55" s="159">
        <f t="shared" si="6"/>
        <v>0</v>
      </c>
      <c r="J55" s="154">
        <v>24.02</v>
      </c>
      <c r="M55" s="147"/>
      <c r="O55" s="147">
        <v>12</v>
      </c>
    </row>
    <row r="56" spans="1:15" x14ac:dyDescent="0.2">
      <c r="A56" s="151">
        <v>7</v>
      </c>
      <c r="B56" s="163"/>
      <c r="C56" s="164" t="s">
        <v>127</v>
      </c>
      <c r="D56" s="116" t="s">
        <v>3</v>
      </c>
      <c r="E56" s="147"/>
      <c r="F56" s="154"/>
      <c r="G56" s="149"/>
      <c r="H56" s="150">
        <f>SUM(H57:H61)</f>
        <v>0</v>
      </c>
      <c r="J56" s="154"/>
      <c r="M56" s="147"/>
      <c r="O56" s="147"/>
    </row>
    <row r="57" spans="1:15" ht="28.5" customHeight="1" x14ac:dyDescent="0.2">
      <c r="A57" s="144" t="s">
        <v>128</v>
      </c>
      <c r="B57" s="163" t="s">
        <v>196</v>
      </c>
      <c r="C57" s="165" t="s">
        <v>199</v>
      </c>
      <c r="D57" s="116" t="s">
        <v>24</v>
      </c>
      <c r="E57" s="147"/>
      <c r="F57" s="154">
        <f t="shared" si="4"/>
        <v>17.558204</v>
      </c>
      <c r="G57" s="149">
        <f t="shared" si="5"/>
        <v>22.2</v>
      </c>
      <c r="H57" s="159">
        <f t="shared" ref="H57:H61" si="7">ROUND(E57*G57,2)</f>
        <v>0</v>
      </c>
      <c r="J57" s="154">
        <v>19.57</v>
      </c>
      <c r="K57" s="120">
        <f>15*17</f>
        <v>255</v>
      </c>
      <c r="M57" s="147"/>
      <c r="O57" s="147">
        <v>255</v>
      </c>
    </row>
    <row r="58" spans="1:15" ht="24" customHeight="1" x14ac:dyDescent="0.2">
      <c r="A58" s="144" t="s">
        <v>129</v>
      </c>
      <c r="B58" s="163" t="s">
        <v>196</v>
      </c>
      <c r="C58" s="165" t="s">
        <v>198</v>
      </c>
      <c r="D58" s="116" t="s">
        <v>24</v>
      </c>
      <c r="E58" s="147"/>
      <c r="F58" s="154">
        <f t="shared" si="4"/>
        <v>30.101059999999997</v>
      </c>
      <c r="G58" s="149">
        <f t="shared" si="5"/>
        <v>38.06</v>
      </c>
      <c r="H58" s="159">
        <f t="shared" si="7"/>
        <v>0</v>
      </c>
      <c r="J58" s="154">
        <v>33.549999999999997</v>
      </c>
      <c r="M58" s="147"/>
      <c r="O58" s="147">
        <v>255</v>
      </c>
    </row>
    <row r="59" spans="1:15" ht="40.5" customHeight="1" x14ac:dyDescent="0.2">
      <c r="A59" s="144" t="s">
        <v>134</v>
      </c>
      <c r="B59" s="163" t="s">
        <v>130</v>
      </c>
      <c r="C59" s="165" t="s">
        <v>131</v>
      </c>
      <c r="D59" s="116" t="s">
        <v>24</v>
      </c>
      <c r="E59" s="147"/>
      <c r="F59" s="154">
        <f t="shared" si="4"/>
        <v>13.897628000000001</v>
      </c>
      <c r="G59" s="149">
        <f t="shared" si="5"/>
        <v>17.57</v>
      </c>
      <c r="H59" s="159">
        <f t="shared" si="7"/>
        <v>0</v>
      </c>
      <c r="J59" s="154">
        <v>15.49</v>
      </c>
      <c r="M59" s="147"/>
      <c r="O59" s="147">
        <v>21.2</v>
      </c>
    </row>
    <row r="60" spans="1:15" ht="43.5" customHeight="1" x14ac:dyDescent="0.2">
      <c r="A60" s="144" t="s">
        <v>137</v>
      </c>
      <c r="B60" s="163" t="s">
        <v>132</v>
      </c>
      <c r="C60" s="165" t="s">
        <v>133</v>
      </c>
      <c r="D60" s="116" t="s">
        <v>24</v>
      </c>
      <c r="E60" s="147"/>
      <c r="F60" s="154">
        <f t="shared" si="4"/>
        <v>14.229592</v>
      </c>
      <c r="G60" s="149">
        <f t="shared" si="5"/>
        <v>17.989999999999998</v>
      </c>
      <c r="H60" s="159">
        <f t="shared" si="7"/>
        <v>0</v>
      </c>
      <c r="J60" s="154">
        <v>15.86</v>
      </c>
      <c r="M60" s="147"/>
      <c r="O60" s="147">
        <v>2374</v>
      </c>
    </row>
    <row r="61" spans="1:15" ht="41.25" customHeight="1" x14ac:dyDescent="0.2">
      <c r="A61" s="144" t="s">
        <v>138</v>
      </c>
      <c r="B61" s="163" t="s">
        <v>135</v>
      </c>
      <c r="C61" s="165" t="s">
        <v>136</v>
      </c>
      <c r="D61" s="116" t="s">
        <v>24</v>
      </c>
      <c r="E61" s="147"/>
      <c r="F61" s="154">
        <f t="shared" si="4"/>
        <v>6.4329239999999999</v>
      </c>
      <c r="G61" s="149">
        <f t="shared" si="5"/>
        <v>8.1300000000000008</v>
      </c>
      <c r="H61" s="159">
        <f t="shared" si="7"/>
        <v>0</v>
      </c>
      <c r="J61" s="154">
        <v>7.17</v>
      </c>
      <c r="M61" s="147"/>
      <c r="O61" s="147">
        <v>21.2</v>
      </c>
    </row>
    <row r="62" spans="1:15" x14ac:dyDescent="0.2">
      <c r="A62" s="151">
        <v>8</v>
      </c>
      <c r="B62" s="163"/>
      <c r="C62" s="164" t="s">
        <v>139</v>
      </c>
      <c r="D62" s="116" t="s">
        <v>3</v>
      </c>
      <c r="E62" s="147"/>
      <c r="F62" s="154"/>
      <c r="G62" s="149"/>
      <c r="H62" s="150">
        <f>SUM(H63:H70)</f>
        <v>0</v>
      </c>
      <c r="J62" s="154"/>
      <c r="M62" s="147"/>
      <c r="O62" s="147"/>
    </row>
    <row r="63" spans="1:15" ht="52.5" customHeight="1" x14ac:dyDescent="0.2">
      <c r="A63" s="144" t="s">
        <v>140</v>
      </c>
      <c r="B63" s="163" t="s">
        <v>141</v>
      </c>
      <c r="C63" s="165" t="s">
        <v>142</v>
      </c>
      <c r="D63" s="116" t="s">
        <v>143</v>
      </c>
      <c r="E63" s="147"/>
      <c r="F63" s="154">
        <f t="shared" si="4"/>
        <v>155.000272</v>
      </c>
      <c r="G63" s="149">
        <f t="shared" si="5"/>
        <v>195.98</v>
      </c>
      <c r="H63" s="159">
        <f t="shared" ref="H63:H70" si="8">ROUND(E63*G63,2)</f>
        <v>0</v>
      </c>
      <c r="J63" s="154">
        <v>172.76</v>
      </c>
      <c r="M63" s="147"/>
      <c r="O63" s="147">
        <v>7</v>
      </c>
    </row>
    <row r="64" spans="1:15" ht="39" customHeight="1" x14ac:dyDescent="0.2">
      <c r="A64" s="144" t="s">
        <v>144</v>
      </c>
      <c r="B64" s="163" t="s">
        <v>145</v>
      </c>
      <c r="C64" s="165" t="s">
        <v>146</v>
      </c>
      <c r="D64" s="116" t="s">
        <v>19</v>
      </c>
      <c r="E64" s="147"/>
      <c r="F64" s="154">
        <f t="shared" si="4"/>
        <v>3.7233800000000001</v>
      </c>
      <c r="G64" s="149">
        <f t="shared" si="5"/>
        <v>4.71</v>
      </c>
      <c r="H64" s="159">
        <f t="shared" si="8"/>
        <v>0</v>
      </c>
      <c r="J64" s="154">
        <v>4.1500000000000004</v>
      </c>
      <c r="M64" s="147"/>
      <c r="O64" s="147">
        <v>100</v>
      </c>
    </row>
    <row r="65" spans="1:15" ht="38.25" customHeight="1" x14ac:dyDescent="0.2">
      <c r="A65" s="144" t="s">
        <v>147</v>
      </c>
      <c r="B65" s="163" t="s">
        <v>148</v>
      </c>
      <c r="C65" s="165" t="s">
        <v>149</v>
      </c>
      <c r="D65" s="116" t="s">
        <v>19</v>
      </c>
      <c r="E65" s="147"/>
      <c r="F65" s="154">
        <f t="shared" si="4"/>
        <v>6.8097479999999999</v>
      </c>
      <c r="G65" s="149">
        <f t="shared" si="5"/>
        <v>8.61</v>
      </c>
      <c r="H65" s="159">
        <f t="shared" si="8"/>
        <v>0</v>
      </c>
      <c r="J65" s="154">
        <v>7.59</v>
      </c>
      <c r="M65" s="147"/>
      <c r="O65" s="147">
        <v>100</v>
      </c>
    </row>
    <row r="66" spans="1:15" ht="48" customHeight="1" x14ac:dyDescent="0.2">
      <c r="A66" s="144" t="s">
        <v>150</v>
      </c>
      <c r="B66" s="163" t="s">
        <v>151</v>
      </c>
      <c r="C66" s="165" t="s">
        <v>152</v>
      </c>
      <c r="D66" s="116" t="s">
        <v>73</v>
      </c>
      <c r="E66" s="147"/>
      <c r="F66" s="154">
        <f t="shared" si="4"/>
        <v>24.726831999999998</v>
      </c>
      <c r="G66" s="149">
        <f t="shared" si="5"/>
        <v>31.26</v>
      </c>
      <c r="H66" s="159">
        <f t="shared" si="8"/>
        <v>0</v>
      </c>
      <c r="J66" s="154">
        <v>27.56</v>
      </c>
      <c r="M66" s="147"/>
      <c r="O66" s="147">
        <v>8</v>
      </c>
    </row>
    <row r="67" spans="1:15" ht="53.25" customHeight="1" x14ac:dyDescent="0.2">
      <c r="A67" s="144" t="s">
        <v>153</v>
      </c>
      <c r="B67" s="163" t="s">
        <v>154</v>
      </c>
      <c r="C67" s="165" t="s">
        <v>155</v>
      </c>
      <c r="D67" s="116" t="s">
        <v>73</v>
      </c>
      <c r="E67" s="147"/>
      <c r="F67" s="154">
        <f t="shared" si="4"/>
        <v>60.964739999999999</v>
      </c>
      <c r="G67" s="149">
        <f t="shared" si="5"/>
        <v>77.08</v>
      </c>
      <c r="H67" s="159">
        <f t="shared" si="8"/>
        <v>0</v>
      </c>
      <c r="J67" s="154">
        <v>67.95</v>
      </c>
      <c r="M67" s="147"/>
      <c r="O67" s="147">
        <v>4</v>
      </c>
    </row>
    <row r="68" spans="1:15" ht="39" customHeight="1" x14ac:dyDescent="0.2">
      <c r="A68" s="144" t="s">
        <v>156</v>
      </c>
      <c r="B68" s="163" t="s">
        <v>157</v>
      </c>
      <c r="C68" s="165" t="s">
        <v>158</v>
      </c>
      <c r="D68" s="116" t="s">
        <v>73</v>
      </c>
      <c r="E68" s="147"/>
      <c r="F68" s="154">
        <f t="shared" si="4"/>
        <v>156.37298799999999</v>
      </c>
      <c r="G68" s="149">
        <f t="shared" si="5"/>
        <v>197.72</v>
      </c>
      <c r="H68" s="159">
        <f t="shared" si="8"/>
        <v>0</v>
      </c>
      <c r="J68" s="154">
        <v>174.29</v>
      </c>
      <c r="M68" s="147"/>
      <c r="O68" s="147">
        <v>1</v>
      </c>
    </row>
    <row r="69" spans="1:15" ht="27.75" customHeight="1" x14ac:dyDescent="0.2">
      <c r="A69" s="144" t="s">
        <v>211</v>
      </c>
      <c r="B69" s="163" t="s">
        <v>159</v>
      </c>
      <c r="C69" s="165" t="s">
        <v>160</v>
      </c>
      <c r="D69" s="116" t="s">
        <v>73</v>
      </c>
      <c r="E69" s="147"/>
      <c r="F69" s="154">
        <f t="shared" si="4"/>
        <v>17.073716000000001</v>
      </c>
      <c r="G69" s="149">
        <f t="shared" si="5"/>
        <v>21.59</v>
      </c>
      <c r="H69" s="159">
        <f t="shared" si="8"/>
        <v>0</v>
      </c>
      <c r="J69" s="154">
        <v>19.03</v>
      </c>
      <c r="M69" s="147"/>
      <c r="O69" s="147">
        <v>2</v>
      </c>
    </row>
    <row r="70" spans="1:15" ht="28.5" customHeight="1" x14ac:dyDescent="0.2">
      <c r="A70" s="144" t="s">
        <v>212</v>
      </c>
      <c r="B70" s="163" t="s">
        <v>161</v>
      </c>
      <c r="C70" s="165" t="s">
        <v>162</v>
      </c>
      <c r="D70" s="116" t="s">
        <v>73</v>
      </c>
      <c r="E70" s="147"/>
      <c r="F70" s="154">
        <f t="shared" si="4"/>
        <v>35.484259999999999</v>
      </c>
      <c r="G70" s="149">
        <f t="shared" si="5"/>
        <v>44.87</v>
      </c>
      <c r="H70" s="159">
        <f t="shared" si="8"/>
        <v>0</v>
      </c>
      <c r="J70" s="154">
        <v>39.549999999999997</v>
      </c>
      <c r="M70" s="147"/>
      <c r="O70" s="147">
        <v>2</v>
      </c>
    </row>
    <row r="71" spans="1:15" x14ac:dyDescent="0.2">
      <c r="A71" s="151">
        <v>9</v>
      </c>
      <c r="B71" s="163"/>
      <c r="C71" s="164" t="s">
        <v>163</v>
      </c>
      <c r="D71" s="116" t="s">
        <v>3</v>
      </c>
      <c r="E71" s="147"/>
      <c r="F71" s="154"/>
      <c r="G71" s="149"/>
      <c r="H71" s="150">
        <f>SUM(H72:H77)</f>
        <v>0</v>
      </c>
      <c r="J71" s="154"/>
      <c r="M71" s="147"/>
      <c r="O71" s="147"/>
    </row>
    <row r="72" spans="1:15" ht="51.75" customHeight="1" x14ac:dyDescent="0.2">
      <c r="A72" s="144" t="s">
        <v>164</v>
      </c>
      <c r="B72" s="163" t="s">
        <v>165</v>
      </c>
      <c r="C72" s="165" t="s">
        <v>166</v>
      </c>
      <c r="D72" s="116" t="s">
        <v>73</v>
      </c>
      <c r="E72" s="147"/>
      <c r="F72" s="154">
        <f t="shared" si="4"/>
        <v>509.44810400000006</v>
      </c>
      <c r="G72" s="149">
        <f t="shared" si="5"/>
        <v>644.15</v>
      </c>
      <c r="H72" s="159">
        <f t="shared" ref="H72:H77" si="9">ROUND(E72*G72,2)</f>
        <v>0</v>
      </c>
      <c r="J72" s="154">
        <v>567.82000000000005</v>
      </c>
      <c r="M72" s="147"/>
      <c r="O72" s="147">
        <v>3</v>
      </c>
    </row>
    <row r="73" spans="1:15" ht="39.75" customHeight="1" x14ac:dyDescent="0.2">
      <c r="A73" s="144" t="s">
        <v>167</v>
      </c>
      <c r="B73" s="163" t="s">
        <v>170</v>
      </c>
      <c r="C73" s="165" t="s">
        <v>171</v>
      </c>
      <c r="D73" s="116" t="s">
        <v>73</v>
      </c>
      <c r="E73" s="147"/>
      <c r="F73" s="154">
        <f t="shared" si="4"/>
        <v>198.58624800000001</v>
      </c>
      <c r="G73" s="149">
        <f t="shared" si="5"/>
        <v>251.09</v>
      </c>
      <c r="H73" s="159">
        <f t="shared" si="9"/>
        <v>0</v>
      </c>
      <c r="J73" s="154">
        <v>221.34</v>
      </c>
      <c r="M73" s="147"/>
      <c r="O73" s="147">
        <v>3</v>
      </c>
    </row>
    <row r="74" spans="1:15" ht="28.5" customHeight="1" x14ac:dyDescent="0.2">
      <c r="A74" s="144" t="s">
        <v>168</v>
      </c>
      <c r="B74" s="163" t="s">
        <v>173</v>
      </c>
      <c r="C74" s="165" t="s">
        <v>174</v>
      </c>
      <c r="D74" s="116" t="s">
        <v>143</v>
      </c>
      <c r="E74" s="147"/>
      <c r="F74" s="154">
        <f t="shared" si="4"/>
        <v>620.53043600000001</v>
      </c>
      <c r="G74" s="149">
        <f t="shared" si="5"/>
        <v>784.6</v>
      </c>
      <c r="H74" s="159">
        <f t="shared" si="9"/>
        <v>0</v>
      </c>
      <c r="J74" s="154">
        <v>691.63</v>
      </c>
      <c r="M74" s="147"/>
      <c r="O74" s="147">
        <v>2</v>
      </c>
    </row>
    <row r="75" spans="1:15" ht="30.75" customHeight="1" x14ac:dyDescent="0.2">
      <c r="A75" s="144" t="s">
        <v>169</v>
      </c>
      <c r="B75" s="163" t="s">
        <v>176</v>
      </c>
      <c r="C75" s="165" t="s">
        <v>177</v>
      </c>
      <c r="D75" s="116" t="s">
        <v>143</v>
      </c>
      <c r="E75" s="147"/>
      <c r="F75" s="154">
        <f t="shared" si="4"/>
        <v>223.39382800000001</v>
      </c>
      <c r="G75" s="149">
        <f t="shared" si="5"/>
        <v>282.45999999999998</v>
      </c>
      <c r="H75" s="159">
        <f t="shared" si="9"/>
        <v>0</v>
      </c>
      <c r="J75" s="154">
        <v>248.99</v>
      </c>
      <c r="M75" s="147"/>
      <c r="O75" s="147">
        <v>2</v>
      </c>
    </row>
    <row r="76" spans="1:15" ht="21.75" customHeight="1" x14ac:dyDescent="0.2">
      <c r="A76" s="144" t="s">
        <v>172</v>
      </c>
      <c r="B76" s="163" t="s">
        <v>178</v>
      </c>
      <c r="C76" s="165" t="s">
        <v>179</v>
      </c>
      <c r="D76" s="116" t="s">
        <v>24</v>
      </c>
      <c r="E76" s="147"/>
      <c r="F76" s="154">
        <f t="shared" si="4"/>
        <v>324.71462400000001</v>
      </c>
      <c r="G76" s="149">
        <f t="shared" si="5"/>
        <v>410.57</v>
      </c>
      <c r="H76" s="159">
        <f t="shared" si="9"/>
        <v>0</v>
      </c>
      <c r="J76" s="154">
        <v>361.92</v>
      </c>
      <c r="M76" s="147"/>
      <c r="O76" s="147">
        <v>3</v>
      </c>
    </row>
    <row r="77" spans="1:15" ht="62.25" customHeight="1" x14ac:dyDescent="0.2">
      <c r="A77" s="144" t="s">
        <v>175</v>
      </c>
      <c r="B77" s="163" t="s">
        <v>180</v>
      </c>
      <c r="C77" s="165" t="s">
        <v>181</v>
      </c>
      <c r="D77" s="116" t="s">
        <v>73</v>
      </c>
      <c r="E77" s="147"/>
      <c r="F77" s="154">
        <f t="shared" si="4"/>
        <v>384.53992</v>
      </c>
      <c r="G77" s="149">
        <f t="shared" si="5"/>
        <v>486.21</v>
      </c>
      <c r="H77" s="159">
        <f t="shared" si="9"/>
        <v>0</v>
      </c>
      <c r="J77" s="154">
        <v>428.6</v>
      </c>
      <c r="M77" s="147"/>
      <c r="O77" s="147">
        <v>3</v>
      </c>
    </row>
    <row r="78" spans="1:15" x14ac:dyDescent="0.2">
      <c r="A78" s="151">
        <v>10</v>
      </c>
      <c r="B78" s="163"/>
      <c r="C78" s="164" t="s">
        <v>183</v>
      </c>
      <c r="D78" s="116" t="s">
        <v>3</v>
      </c>
      <c r="E78" s="147"/>
      <c r="F78" s="154"/>
      <c r="G78" s="149"/>
      <c r="H78" s="150">
        <f>SUM(H79:H79)</f>
        <v>0</v>
      </c>
      <c r="J78" s="154"/>
      <c r="M78" s="147"/>
      <c r="O78" s="147"/>
    </row>
    <row r="79" spans="1:15" x14ac:dyDescent="0.2">
      <c r="A79" s="144" t="s">
        <v>182</v>
      </c>
      <c r="B79" s="163" t="s">
        <v>184</v>
      </c>
      <c r="C79" s="165" t="s">
        <v>185</v>
      </c>
      <c r="D79" s="116" t="s">
        <v>24</v>
      </c>
      <c r="E79" s="147"/>
      <c r="F79" s="154">
        <f t="shared" si="4"/>
        <v>6.9263839999999997</v>
      </c>
      <c r="G79" s="149">
        <f t="shared" si="5"/>
        <v>8.76</v>
      </c>
      <c r="H79" s="159">
        <f>ROUND(E79*G79,2)</f>
        <v>0</v>
      </c>
      <c r="J79" s="154">
        <v>7.72</v>
      </c>
      <c r="M79" s="147"/>
      <c r="O79" s="147">
        <v>510</v>
      </c>
    </row>
    <row r="83" spans="3:8" x14ac:dyDescent="0.2">
      <c r="C83" s="174"/>
      <c r="D83" s="247"/>
      <c r="E83" s="247"/>
      <c r="F83" s="247"/>
      <c r="G83" s="247"/>
      <c r="H83" s="247"/>
    </row>
    <row r="84" spans="3:8" x14ac:dyDescent="0.2">
      <c r="C84" s="174"/>
      <c r="D84" s="247"/>
      <c r="E84" s="247"/>
      <c r="F84" s="247"/>
      <c r="G84" s="247"/>
      <c r="H84" s="247"/>
    </row>
    <row r="85" spans="3:8" x14ac:dyDescent="0.2">
      <c r="C85" s="175" t="s">
        <v>313</v>
      </c>
    </row>
    <row r="86" spans="3:8" x14ac:dyDescent="0.2">
      <c r="C86" s="176" t="s">
        <v>314</v>
      </c>
    </row>
  </sheetData>
  <mergeCells count="8">
    <mergeCell ref="D83:H83"/>
    <mergeCell ref="D84:H84"/>
    <mergeCell ref="A2:H2"/>
    <mergeCell ref="A3:H3"/>
    <mergeCell ref="A4:H4"/>
    <mergeCell ref="A5:H5"/>
    <mergeCell ref="A6:H6"/>
    <mergeCell ref="B7:C7"/>
  </mergeCells>
  <printOptions horizontalCentered="1"/>
  <pageMargins left="0.19685039370078741" right="0.19685039370078741" top="0.39370078740157483" bottom="0.39370078740157483" header="0" footer="0.31496062992125984"/>
  <pageSetup paperSize="9" scale="90" fitToHeight="3" orientation="landscape" r:id="rId1"/>
  <headerFooter>
    <oddFooter>&amp;CAv. Irmã Tosta - Maria José Tosta, 61 - Esplanada - Pouso Alegre/MG    l    CNPJ  23.896.707 / 0001-23   l     Tel : (35) 99908.9053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zoomScale="90" zoomScaleNormal="90" workbookViewId="0">
      <selection activeCell="E16" sqref="E16"/>
    </sheetView>
  </sheetViews>
  <sheetFormatPr defaultRowHeight="12.75" x14ac:dyDescent="0.2"/>
  <cols>
    <col min="1" max="1" width="6.5703125" style="120" customWidth="1"/>
    <col min="2" max="2" width="10.28515625" style="120" customWidth="1"/>
    <col min="3" max="3" width="65" style="120" customWidth="1"/>
    <col min="4" max="4" width="6.5703125" style="120" customWidth="1"/>
    <col min="5" max="5" width="13" style="120" customWidth="1"/>
    <col min="6" max="6" width="12.140625" style="120" customWidth="1"/>
    <col min="7" max="7" width="12.28515625" style="120" customWidth="1"/>
    <col min="8" max="8" width="14.28515625" style="120" customWidth="1"/>
    <col min="9" max="9" width="9.28515625" style="120" customWidth="1"/>
    <col min="10" max="10" width="12.140625" style="120" hidden="1" customWidth="1"/>
    <col min="11" max="13" width="10.5703125" style="120" bestFit="1" customWidth="1"/>
    <col min="14" max="16384" width="9.140625" style="120"/>
  </cols>
  <sheetData>
    <row r="1" spans="1:13" ht="62.25" customHeight="1" x14ac:dyDescent="0.2">
      <c r="A1" s="117"/>
      <c r="B1" s="118"/>
      <c r="C1" s="118"/>
      <c r="D1" s="118"/>
      <c r="E1" s="118"/>
      <c r="F1" s="118"/>
      <c r="G1" s="118"/>
      <c r="H1" s="118"/>
      <c r="I1" s="119"/>
      <c r="J1" s="119"/>
    </row>
    <row r="2" spans="1:13" ht="39.950000000000003" customHeight="1" x14ac:dyDescent="0.2">
      <c r="A2" s="248" t="s">
        <v>323</v>
      </c>
      <c r="B2" s="249"/>
      <c r="C2" s="249"/>
      <c r="D2" s="249"/>
      <c r="E2" s="249"/>
      <c r="F2" s="249"/>
      <c r="G2" s="249"/>
      <c r="H2" s="249"/>
    </row>
    <row r="3" spans="1:13" x14ac:dyDescent="0.2">
      <c r="A3" s="251" t="s">
        <v>0</v>
      </c>
      <c r="B3" s="251"/>
      <c r="C3" s="251"/>
      <c r="D3" s="251"/>
      <c r="E3" s="251"/>
      <c r="F3" s="251"/>
      <c r="G3" s="251"/>
      <c r="H3" s="251"/>
    </row>
    <row r="4" spans="1:13" x14ac:dyDescent="0.2">
      <c r="A4" s="252" t="s">
        <v>1</v>
      </c>
      <c r="B4" s="252"/>
      <c r="C4" s="252"/>
      <c r="D4" s="252"/>
      <c r="E4" s="252"/>
      <c r="F4" s="252"/>
      <c r="G4" s="252"/>
      <c r="H4" s="252"/>
    </row>
    <row r="5" spans="1:13" x14ac:dyDescent="0.2">
      <c r="A5" s="244" t="s">
        <v>324</v>
      </c>
      <c r="B5" s="244"/>
      <c r="C5" s="244"/>
      <c r="D5" s="244"/>
      <c r="E5" s="244"/>
      <c r="F5" s="244"/>
      <c r="G5" s="244"/>
      <c r="H5" s="244"/>
    </row>
    <row r="6" spans="1:13" x14ac:dyDescent="0.2">
      <c r="A6" s="245" t="s">
        <v>213</v>
      </c>
      <c r="B6" s="245"/>
      <c r="C6" s="245"/>
      <c r="D6" s="245"/>
      <c r="E6" s="245"/>
      <c r="F6" s="245"/>
      <c r="G6" s="245"/>
      <c r="H6" s="245"/>
    </row>
    <row r="7" spans="1:13" x14ac:dyDescent="0.2">
      <c r="A7" s="121" t="s">
        <v>2</v>
      </c>
      <c r="B7" s="246">
        <v>46069</v>
      </c>
      <c r="C7" s="246"/>
      <c r="D7" s="122"/>
      <c r="E7" s="123"/>
      <c r="F7" s="124"/>
      <c r="G7" s="125"/>
      <c r="H7" s="126" t="s">
        <v>3</v>
      </c>
      <c r="J7" s="124">
        <v>0.8972</v>
      </c>
    </row>
    <row r="8" spans="1:13" x14ac:dyDescent="0.2">
      <c r="A8" s="121"/>
      <c r="B8" s="127"/>
      <c r="C8" s="191" t="s">
        <v>347</v>
      </c>
      <c r="D8" s="128"/>
      <c r="E8" s="129"/>
      <c r="F8" s="124"/>
      <c r="G8" s="130" t="s">
        <v>4</v>
      </c>
      <c r="H8" s="131">
        <v>0.26440000000000002</v>
      </c>
      <c r="J8" s="124"/>
    </row>
    <row r="9" spans="1:13" ht="33" customHeight="1" x14ac:dyDescent="0.2">
      <c r="A9" s="132" t="s">
        <v>5</v>
      </c>
      <c r="B9" s="133" t="s">
        <v>6</v>
      </c>
      <c r="C9" s="134" t="s">
        <v>7</v>
      </c>
      <c r="D9" s="135" t="s">
        <v>8</v>
      </c>
      <c r="E9" s="136" t="s">
        <v>9</v>
      </c>
      <c r="F9" s="134" t="s">
        <v>10</v>
      </c>
      <c r="G9" s="134" t="s">
        <v>11</v>
      </c>
      <c r="H9" s="134" t="s">
        <v>12</v>
      </c>
      <c r="J9" s="134" t="s">
        <v>10</v>
      </c>
    </row>
    <row r="10" spans="1:13" x14ac:dyDescent="0.2">
      <c r="A10" s="137"/>
      <c r="B10" s="138"/>
      <c r="C10" s="139" t="s">
        <v>13</v>
      </c>
      <c r="D10" s="140"/>
      <c r="E10" s="141">
        <v>1015112.0900000002</v>
      </c>
      <c r="F10" s="142"/>
      <c r="G10" s="142"/>
      <c r="H10" s="143">
        <f>ROUND(H11,2)</f>
        <v>14903.96</v>
      </c>
      <c r="J10" s="142"/>
    </row>
    <row r="11" spans="1:13" ht="15.75" customHeight="1" x14ac:dyDescent="0.2">
      <c r="A11" s="144"/>
      <c r="B11" s="145"/>
      <c r="C11" s="146"/>
      <c r="D11" s="116" t="s">
        <v>3</v>
      </c>
      <c r="E11" s="147"/>
      <c r="F11" s="148"/>
      <c r="G11" s="149"/>
      <c r="H11" s="150">
        <f>SUM(H12+H20+H27+H42+H48+H56+H62+H71+H78+H14)</f>
        <v>14903.960000000003</v>
      </c>
      <c r="J11" s="148"/>
    </row>
    <row r="12" spans="1:13" x14ac:dyDescent="0.2">
      <c r="A12" s="151">
        <v>1</v>
      </c>
      <c r="B12" s="152"/>
      <c r="C12" s="153" t="s">
        <v>14</v>
      </c>
      <c r="D12" s="116" t="s">
        <v>3</v>
      </c>
      <c r="E12" s="147"/>
      <c r="F12" s="154"/>
      <c r="G12" s="149"/>
      <c r="H12" s="150">
        <f>SUM(H13:H13)</f>
        <v>1334.38</v>
      </c>
      <c r="J12" s="154"/>
    </row>
    <row r="13" spans="1:13" ht="77.25" customHeight="1" x14ac:dyDescent="0.2">
      <c r="A13" s="155" t="s">
        <v>15</v>
      </c>
      <c r="B13" s="156" t="s">
        <v>16</v>
      </c>
      <c r="C13" s="157" t="s">
        <v>17</v>
      </c>
      <c r="D13" s="158" t="s">
        <v>18</v>
      </c>
      <c r="E13" s="149">
        <v>1</v>
      </c>
      <c r="F13" s="154">
        <f>J13*$J$7</f>
        <v>1055.3494439999999</v>
      </c>
      <c r="G13" s="149">
        <f>ROUND(F13+(F13*$H$8),2)</f>
        <v>1334.38</v>
      </c>
      <c r="H13" s="159">
        <f>E13*G13</f>
        <v>1334.38</v>
      </c>
      <c r="I13" s="160"/>
      <c r="J13" s="154">
        <v>1176.27</v>
      </c>
      <c r="K13" s="161"/>
      <c r="L13" s="161"/>
      <c r="M13" s="162"/>
    </row>
    <row r="14" spans="1:13" ht="18.75" customHeight="1" x14ac:dyDescent="0.2">
      <c r="A14" s="151">
        <v>2</v>
      </c>
      <c r="B14" s="163"/>
      <c r="C14" s="164" t="s">
        <v>28</v>
      </c>
      <c r="D14" s="116"/>
      <c r="E14" s="149"/>
      <c r="F14" s="154"/>
      <c r="G14" s="149"/>
      <c r="H14" s="150">
        <f>SUM(H15:H19)</f>
        <v>8315.4900000000016</v>
      </c>
      <c r="J14" s="154"/>
    </row>
    <row r="15" spans="1:13" ht="76.5" customHeight="1" x14ac:dyDescent="0.2">
      <c r="A15" s="144" t="s">
        <v>20</v>
      </c>
      <c r="B15" s="163" t="s">
        <v>29</v>
      </c>
      <c r="C15" s="165" t="s">
        <v>30</v>
      </c>
      <c r="D15" s="116" t="s">
        <v>24</v>
      </c>
      <c r="E15" s="149">
        <f>51.04+137.52</f>
        <v>188.56</v>
      </c>
      <c r="F15" s="154">
        <f t="shared" ref="F15:F19" si="0">J15*$J$7</f>
        <v>15.548475999999999</v>
      </c>
      <c r="G15" s="149">
        <f t="shared" ref="G15:G41" si="1">ROUND(F15+(F15*$H$8),2)</f>
        <v>19.66</v>
      </c>
      <c r="H15" s="159">
        <f t="shared" ref="H15:H47" si="2">ROUND(E15*G15,2)</f>
        <v>3707.09</v>
      </c>
      <c r="J15" s="166">
        <v>17.329999999999998</v>
      </c>
    </row>
    <row r="16" spans="1:13" ht="50.25" customHeight="1" x14ac:dyDescent="0.2">
      <c r="A16" s="144" t="s">
        <v>21</v>
      </c>
      <c r="B16" s="163" t="s">
        <v>31</v>
      </c>
      <c r="C16" s="165" t="s">
        <v>32</v>
      </c>
      <c r="D16" s="116" t="s">
        <v>24</v>
      </c>
      <c r="E16" s="149">
        <v>96.99</v>
      </c>
      <c r="F16" s="154">
        <f t="shared" si="0"/>
        <v>9.2770480000000006</v>
      </c>
      <c r="G16" s="149">
        <f t="shared" si="1"/>
        <v>11.73</v>
      </c>
      <c r="H16" s="159">
        <f t="shared" si="2"/>
        <v>1137.69</v>
      </c>
      <c r="I16" s="190"/>
      <c r="J16" s="154">
        <v>10.34</v>
      </c>
    </row>
    <row r="17" spans="1:16" ht="40.5" customHeight="1" x14ac:dyDescent="0.2">
      <c r="A17" s="144" t="s">
        <v>22</v>
      </c>
      <c r="B17" s="163" t="s">
        <v>33</v>
      </c>
      <c r="C17" s="165" t="s">
        <v>34</v>
      </c>
      <c r="D17" s="116" t="s">
        <v>24</v>
      </c>
      <c r="E17" s="149">
        <v>4.9800000000000004</v>
      </c>
      <c r="F17" s="154">
        <f t="shared" si="0"/>
        <v>58.811459999999997</v>
      </c>
      <c r="G17" s="149">
        <f t="shared" si="1"/>
        <v>74.36</v>
      </c>
      <c r="H17" s="159">
        <f t="shared" si="2"/>
        <v>370.31</v>
      </c>
      <c r="I17" s="190"/>
      <c r="J17" s="154">
        <v>65.55</v>
      </c>
    </row>
    <row r="18" spans="1:16" ht="51.75" customHeight="1" x14ac:dyDescent="0.2">
      <c r="A18" s="144" t="s">
        <v>23</v>
      </c>
      <c r="B18" s="163" t="s">
        <v>35</v>
      </c>
      <c r="C18" s="165" t="s">
        <v>36</v>
      </c>
      <c r="D18" s="116" t="s">
        <v>19</v>
      </c>
      <c r="E18" s="149"/>
      <c r="F18" s="154">
        <f t="shared" si="0"/>
        <v>19.280828</v>
      </c>
      <c r="G18" s="149">
        <f t="shared" si="1"/>
        <v>24.38</v>
      </c>
      <c r="H18" s="159">
        <f t="shared" si="2"/>
        <v>0</v>
      </c>
      <c r="I18" s="190"/>
      <c r="J18" s="154">
        <v>21.49</v>
      </c>
      <c r="O18" s="247"/>
      <c r="P18" s="247"/>
    </row>
    <row r="19" spans="1:16" ht="42" customHeight="1" x14ac:dyDescent="0.2">
      <c r="A19" s="144" t="s">
        <v>27</v>
      </c>
      <c r="B19" s="163" t="s">
        <v>37</v>
      </c>
      <c r="C19" s="165" t="s">
        <v>38</v>
      </c>
      <c r="D19" s="116" t="s">
        <v>24</v>
      </c>
      <c r="E19" s="149">
        <v>73.959999999999994</v>
      </c>
      <c r="F19" s="154">
        <f t="shared" si="0"/>
        <v>33.151540000000004</v>
      </c>
      <c r="G19" s="149">
        <f>ROUND(F19+(F19*$H$8),2)</f>
        <v>41.92</v>
      </c>
      <c r="H19" s="159">
        <f t="shared" si="2"/>
        <v>3100.4</v>
      </c>
      <c r="I19" s="168"/>
      <c r="J19" s="154">
        <v>36.950000000000003</v>
      </c>
      <c r="L19" s="168"/>
      <c r="P19" s="168"/>
    </row>
    <row r="20" spans="1:16" x14ac:dyDescent="0.2">
      <c r="A20" s="151">
        <v>3</v>
      </c>
      <c r="B20" s="163"/>
      <c r="C20" s="164" t="s">
        <v>40</v>
      </c>
      <c r="D20" s="116" t="s">
        <v>3</v>
      </c>
      <c r="E20" s="149"/>
      <c r="F20" s="154"/>
      <c r="G20" s="149"/>
      <c r="H20" s="150">
        <f>SUM(H21:H26)</f>
        <v>0</v>
      </c>
      <c r="J20" s="154"/>
    </row>
    <row r="21" spans="1:16" ht="61.5" customHeight="1" x14ac:dyDescent="0.2">
      <c r="A21" s="144" t="s">
        <v>41</v>
      </c>
      <c r="B21" s="163" t="s">
        <v>39</v>
      </c>
      <c r="C21" s="165" t="s">
        <v>42</v>
      </c>
      <c r="D21" s="116" t="s">
        <v>25</v>
      </c>
      <c r="E21" s="149"/>
      <c r="F21" s="154">
        <f t="shared" ref="F21:F25" si="3">J21*$J$7</f>
        <v>19.191108</v>
      </c>
      <c r="G21" s="149">
        <f t="shared" si="1"/>
        <v>24.27</v>
      </c>
      <c r="H21" s="159">
        <f t="shared" si="2"/>
        <v>0</v>
      </c>
      <c r="J21" s="154">
        <v>21.39</v>
      </c>
      <c r="K21" s="168"/>
    </row>
    <row r="22" spans="1:16" ht="63" customHeight="1" x14ac:dyDescent="0.2">
      <c r="A22" s="144" t="s">
        <v>43</v>
      </c>
      <c r="B22" s="163" t="s">
        <v>44</v>
      </c>
      <c r="C22" s="165" t="s">
        <v>45</v>
      </c>
      <c r="D22" s="116" t="s">
        <v>26</v>
      </c>
      <c r="E22" s="149"/>
      <c r="F22" s="154">
        <f t="shared" si="3"/>
        <v>282.600056</v>
      </c>
      <c r="G22" s="149">
        <f t="shared" si="1"/>
        <v>357.32</v>
      </c>
      <c r="H22" s="159">
        <f t="shared" si="2"/>
        <v>0</v>
      </c>
      <c r="J22" s="154">
        <v>314.98</v>
      </c>
      <c r="P22" s="168"/>
    </row>
    <row r="23" spans="1:16" ht="48.75" customHeight="1" x14ac:dyDescent="0.2">
      <c r="A23" s="144" t="s">
        <v>50</v>
      </c>
      <c r="B23" s="163" t="s">
        <v>46</v>
      </c>
      <c r="C23" s="165" t="s">
        <v>47</v>
      </c>
      <c r="D23" s="116" t="s">
        <v>24</v>
      </c>
      <c r="E23" s="149"/>
      <c r="F23" s="154">
        <f t="shared" si="3"/>
        <v>96.359279999999998</v>
      </c>
      <c r="G23" s="149">
        <f t="shared" si="1"/>
        <v>121.84</v>
      </c>
      <c r="H23" s="159">
        <f t="shared" si="2"/>
        <v>0</v>
      </c>
      <c r="J23" s="154">
        <v>107.4</v>
      </c>
      <c r="P23" s="168"/>
    </row>
    <row r="24" spans="1:16" ht="42.75" customHeight="1" x14ac:dyDescent="0.2">
      <c r="A24" s="144" t="s">
        <v>53</v>
      </c>
      <c r="B24" s="163" t="s">
        <v>48</v>
      </c>
      <c r="C24" s="165" t="s">
        <v>49</v>
      </c>
      <c r="D24" s="116" t="s">
        <v>19</v>
      </c>
      <c r="E24" s="149"/>
      <c r="F24" s="154">
        <f t="shared" si="3"/>
        <v>42.285036000000005</v>
      </c>
      <c r="G24" s="149">
        <f t="shared" si="1"/>
        <v>53.47</v>
      </c>
      <c r="H24" s="159">
        <f t="shared" si="2"/>
        <v>0</v>
      </c>
      <c r="I24" s="168"/>
      <c r="J24" s="154">
        <v>47.13</v>
      </c>
      <c r="P24" s="168"/>
    </row>
    <row r="25" spans="1:16" ht="39" customHeight="1" x14ac:dyDescent="0.2">
      <c r="A25" s="144" t="s">
        <v>194</v>
      </c>
      <c r="B25" s="163" t="s">
        <v>51</v>
      </c>
      <c r="C25" s="165" t="s">
        <v>52</v>
      </c>
      <c r="D25" s="116" t="s">
        <v>19</v>
      </c>
      <c r="E25" s="149"/>
      <c r="F25" s="154">
        <f t="shared" si="3"/>
        <v>51.624887999999999</v>
      </c>
      <c r="G25" s="149">
        <f t="shared" si="1"/>
        <v>65.27</v>
      </c>
      <c r="H25" s="159">
        <f t="shared" si="2"/>
        <v>0</v>
      </c>
      <c r="J25" s="154">
        <v>57.54</v>
      </c>
    </row>
    <row r="26" spans="1:16" ht="41.25" customHeight="1" x14ac:dyDescent="0.2">
      <c r="A26" s="144" t="s">
        <v>200</v>
      </c>
      <c r="B26" s="163" t="s">
        <v>54</v>
      </c>
      <c r="C26" s="165" t="s">
        <v>55</v>
      </c>
      <c r="D26" s="116" t="s">
        <v>19</v>
      </c>
      <c r="E26" s="149"/>
      <c r="F26" s="154">
        <f>J26*$J$7</f>
        <v>76.899011999999999</v>
      </c>
      <c r="G26" s="149">
        <f t="shared" si="1"/>
        <v>97.23</v>
      </c>
      <c r="H26" s="159">
        <f t="shared" si="2"/>
        <v>0</v>
      </c>
      <c r="J26" s="154">
        <v>85.71</v>
      </c>
    </row>
    <row r="27" spans="1:16" x14ac:dyDescent="0.2">
      <c r="A27" s="151">
        <v>4</v>
      </c>
      <c r="B27" s="163"/>
      <c r="C27" s="164" t="s">
        <v>56</v>
      </c>
      <c r="D27" s="116" t="s">
        <v>3</v>
      </c>
      <c r="E27" s="149"/>
      <c r="F27" s="154"/>
      <c r="G27" s="149"/>
      <c r="H27" s="150">
        <f>SUM(H28:H41)</f>
        <v>304.68</v>
      </c>
      <c r="J27" s="154"/>
    </row>
    <row r="28" spans="1:16" ht="63.75" customHeight="1" x14ac:dyDescent="0.2">
      <c r="A28" s="144" t="s">
        <v>60</v>
      </c>
      <c r="B28" s="163" t="s">
        <v>57</v>
      </c>
      <c r="C28" s="165" t="s">
        <v>58</v>
      </c>
      <c r="D28" s="116" t="s">
        <v>59</v>
      </c>
      <c r="E28" s="149">
        <v>6</v>
      </c>
      <c r="F28" s="154">
        <f t="shared" ref="F28:F79" si="4">J28*$J$7</f>
        <v>40.158671999999996</v>
      </c>
      <c r="G28" s="149">
        <f t="shared" si="1"/>
        <v>50.78</v>
      </c>
      <c r="H28" s="159">
        <f t="shared" si="2"/>
        <v>304.68</v>
      </c>
      <c r="J28" s="154">
        <v>44.76</v>
      </c>
    </row>
    <row r="29" spans="1:16" ht="84" customHeight="1" x14ac:dyDescent="0.2">
      <c r="A29" s="144" t="s">
        <v>64</v>
      </c>
      <c r="B29" s="169" t="s">
        <v>61</v>
      </c>
      <c r="C29" s="165" t="s">
        <v>62</v>
      </c>
      <c r="D29" s="116" t="s">
        <v>63</v>
      </c>
      <c r="E29" s="149"/>
      <c r="F29" s="154">
        <f t="shared" si="4"/>
        <v>149.42866000000001</v>
      </c>
      <c r="G29" s="149">
        <f>ROUND(F29+(F29*$H$8),2)</f>
        <v>188.94</v>
      </c>
      <c r="H29" s="159">
        <f>ROUND(E29*G29,2)</f>
        <v>0</v>
      </c>
      <c r="J29" s="154">
        <v>166.55</v>
      </c>
      <c r="K29" s="168"/>
      <c r="L29" s="168"/>
    </row>
    <row r="30" spans="1:16" ht="59.25" customHeight="1" x14ac:dyDescent="0.2">
      <c r="A30" s="144" t="s">
        <v>67</v>
      </c>
      <c r="B30" s="163" t="s">
        <v>65</v>
      </c>
      <c r="C30" s="165" t="s">
        <v>66</v>
      </c>
      <c r="D30" s="116" t="s">
        <v>63</v>
      </c>
      <c r="E30" s="149"/>
      <c r="F30" s="154">
        <f t="shared" si="4"/>
        <v>274.49833999999998</v>
      </c>
      <c r="G30" s="149">
        <f t="shared" si="1"/>
        <v>347.08</v>
      </c>
      <c r="H30" s="159">
        <f t="shared" si="2"/>
        <v>0</v>
      </c>
      <c r="J30" s="154">
        <v>305.95</v>
      </c>
    </row>
    <row r="31" spans="1:16" ht="76.5" x14ac:dyDescent="0.2">
      <c r="A31" s="144" t="s">
        <v>70</v>
      </c>
      <c r="B31" s="163" t="s">
        <v>68</v>
      </c>
      <c r="C31" s="165" t="s">
        <v>69</v>
      </c>
      <c r="D31" s="116" t="s">
        <v>63</v>
      </c>
      <c r="E31" s="149"/>
      <c r="F31" s="154">
        <f t="shared" si="4"/>
        <v>196.71109999999999</v>
      </c>
      <c r="G31" s="149">
        <f t="shared" si="1"/>
        <v>248.72</v>
      </c>
      <c r="H31" s="159">
        <f t="shared" si="2"/>
        <v>0</v>
      </c>
      <c r="J31" s="154">
        <v>219.25</v>
      </c>
      <c r="K31" s="168"/>
    </row>
    <row r="32" spans="1:16" ht="25.5" x14ac:dyDescent="0.2">
      <c r="A32" s="144" t="s">
        <v>74</v>
      </c>
      <c r="B32" s="163" t="s">
        <v>71</v>
      </c>
      <c r="C32" s="165" t="s">
        <v>72</v>
      </c>
      <c r="D32" s="116" t="s">
        <v>73</v>
      </c>
      <c r="E32" s="149"/>
      <c r="F32" s="154">
        <f t="shared" si="4"/>
        <v>61.512032000000005</v>
      </c>
      <c r="G32" s="149">
        <f t="shared" si="1"/>
        <v>77.78</v>
      </c>
      <c r="H32" s="159">
        <f t="shared" si="2"/>
        <v>0</v>
      </c>
      <c r="J32" s="154">
        <v>68.56</v>
      </c>
      <c r="K32" s="168"/>
    </row>
    <row r="33" spans="1:14" ht="52.5" customHeight="1" x14ac:dyDescent="0.2">
      <c r="A33" s="144" t="s">
        <v>76</v>
      </c>
      <c r="B33" s="169" t="s">
        <v>75</v>
      </c>
      <c r="C33" s="165" t="s">
        <v>195</v>
      </c>
      <c r="D33" s="116" t="s">
        <v>73</v>
      </c>
      <c r="E33" s="149"/>
      <c r="F33" s="154">
        <f t="shared" si="4"/>
        <v>123.63416000000001</v>
      </c>
      <c r="G33" s="149">
        <f t="shared" si="1"/>
        <v>156.32</v>
      </c>
      <c r="H33" s="159">
        <f t="shared" si="2"/>
        <v>0</v>
      </c>
      <c r="J33" s="154">
        <v>137.80000000000001</v>
      </c>
    </row>
    <row r="34" spans="1:14" ht="51" x14ac:dyDescent="0.2">
      <c r="A34" s="144" t="s">
        <v>201</v>
      </c>
      <c r="B34" s="163" t="s">
        <v>77</v>
      </c>
      <c r="C34" s="165" t="s">
        <v>78</v>
      </c>
      <c r="D34" s="116" t="s">
        <v>73</v>
      </c>
      <c r="E34" s="149"/>
      <c r="F34" s="154">
        <f t="shared" si="4"/>
        <v>800.02426800000001</v>
      </c>
      <c r="G34" s="149">
        <f t="shared" si="1"/>
        <v>1011.55</v>
      </c>
      <c r="H34" s="159">
        <f t="shared" si="2"/>
        <v>0</v>
      </c>
      <c r="J34" s="154">
        <v>891.69</v>
      </c>
    </row>
    <row r="35" spans="1:14" ht="21.75" customHeight="1" x14ac:dyDescent="0.2">
      <c r="A35" s="144" t="s">
        <v>202</v>
      </c>
      <c r="B35" s="163" t="s">
        <v>79</v>
      </c>
      <c r="C35" s="165" t="s">
        <v>80</v>
      </c>
      <c r="D35" s="116" t="s">
        <v>73</v>
      </c>
      <c r="E35" s="149"/>
      <c r="F35" s="154">
        <f t="shared" si="4"/>
        <v>18.177272000000002</v>
      </c>
      <c r="G35" s="149">
        <f t="shared" si="1"/>
        <v>22.98</v>
      </c>
      <c r="H35" s="159">
        <f t="shared" si="2"/>
        <v>0</v>
      </c>
      <c r="J35" s="154">
        <v>20.260000000000002</v>
      </c>
    </row>
    <row r="36" spans="1:14" ht="25.5" x14ac:dyDescent="0.2">
      <c r="A36" s="144" t="s">
        <v>203</v>
      </c>
      <c r="B36" s="163" t="s">
        <v>81</v>
      </c>
      <c r="C36" s="165" t="s">
        <v>82</v>
      </c>
      <c r="D36" s="116" t="s">
        <v>73</v>
      </c>
      <c r="E36" s="149"/>
      <c r="F36" s="154">
        <f t="shared" si="4"/>
        <v>51.983767999999998</v>
      </c>
      <c r="G36" s="149">
        <f t="shared" si="1"/>
        <v>65.73</v>
      </c>
      <c r="H36" s="159">
        <f t="shared" si="2"/>
        <v>0</v>
      </c>
      <c r="J36" s="154">
        <v>57.94</v>
      </c>
    </row>
    <row r="37" spans="1:14" ht="38.25" x14ac:dyDescent="0.2">
      <c r="A37" s="144" t="s">
        <v>204</v>
      </c>
      <c r="B37" s="163" t="s">
        <v>83</v>
      </c>
      <c r="C37" s="165" t="s">
        <v>84</v>
      </c>
      <c r="D37" s="116" t="s">
        <v>73</v>
      </c>
      <c r="E37" s="149"/>
      <c r="F37" s="154">
        <f t="shared" si="4"/>
        <v>92.285991999999993</v>
      </c>
      <c r="G37" s="149">
        <f t="shared" si="1"/>
        <v>116.69</v>
      </c>
      <c r="H37" s="159">
        <f t="shared" si="2"/>
        <v>0</v>
      </c>
      <c r="J37" s="154">
        <v>102.86</v>
      </c>
    </row>
    <row r="38" spans="1:14" ht="38.25" x14ac:dyDescent="0.2">
      <c r="A38" s="144" t="s">
        <v>205</v>
      </c>
      <c r="B38" s="163" t="s">
        <v>85</v>
      </c>
      <c r="C38" s="165" t="s">
        <v>86</v>
      </c>
      <c r="D38" s="116" t="s">
        <v>19</v>
      </c>
      <c r="E38" s="149"/>
      <c r="F38" s="154">
        <f t="shared" si="4"/>
        <v>36.704451999999996</v>
      </c>
      <c r="G38" s="149">
        <f t="shared" si="1"/>
        <v>46.41</v>
      </c>
      <c r="H38" s="159">
        <f t="shared" si="2"/>
        <v>0</v>
      </c>
      <c r="I38" s="170"/>
      <c r="J38" s="154">
        <v>40.909999999999997</v>
      </c>
    </row>
    <row r="39" spans="1:14" ht="40.5" customHeight="1" x14ac:dyDescent="0.2">
      <c r="A39" s="144" t="s">
        <v>206</v>
      </c>
      <c r="B39" s="163" t="s">
        <v>87</v>
      </c>
      <c r="C39" s="165" t="s">
        <v>88</v>
      </c>
      <c r="D39" s="116" t="s">
        <v>19</v>
      </c>
      <c r="E39" s="149"/>
      <c r="F39" s="154">
        <f t="shared" si="4"/>
        <v>118.81619600000001</v>
      </c>
      <c r="G39" s="149">
        <f t="shared" si="1"/>
        <v>150.22999999999999</v>
      </c>
      <c r="H39" s="159">
        <f t="shared" si="2"/>
        <v>0</v>
      </c>
      <c r="I39" s="170"/>
      <c r="J39" s="154">
        <v>132.43</v>
      </c>
    </row>
    <row r="40" spans="1:14" ht="25.5" customHeight="1" x14ac:dyDescent="0.2">
      <c r="A40" s="144" t="s">
        <v>207</v>
      </c>
      <c r="B40" s="163" t="s">
        <v>89</v>
      </c>
      <c r="C40" s="165" t="s">
        <v>90</v>
      </c>
      <c r="D40" s="116" t="s">
        <v>19</v>
      </c>
      <c r="E40" s="149"/>
      <c r="F40" s="154">
        <f t="shared" si="4"/>
        <v>18.957836</v>
      </c>
      <c r="G40" s="149">
        <f t="shared" si="1"/>
        <v>23.97</v>
      </c>
      <c r="H40" s="159">
        <f t="shared" si="2"/>
        <v>0</v>
      </c>
      <c r="I40" s="170"/>
      <c r="J40" s="154">
        <v>21.13</v>
      </c>
    </row>
    <row r="41" spans="1:14" ht="26.25" customHeight="1" x14ac:dyDescent="0.2">
      <c r="A41" s="144" t="s">
        <v>208</v>
      </c>
      <c r="B41" s="163" t="s">
        <v>91</v>
      </c>
      <c r="C41" s="165" t="s">
        <v>92</v>
      </c>
      <c r="D41" s="116" t="s">
        <v>19</v>
      </c>
      <c r="E41" s="149"/>
      <c r="F41" s="154">
        <f t="shared" si="4"/>
        <v>20.886816</v>
      </c>
      <c r="G41" s="149">
        <f t="shared" si="1"/>
        <v>26.41</v>
      </c>
      <c r="H41" s="159">
        <f t="shared" si="2"/>
        <v>0</v>
      </c>
      <c r="I41" s="170"/>
      <c r="J41" s="154">
        <v>23.28</v>
      </c>
    </row>
    <row r="42" spans="1:14" x14ac:dyDescent="0.2">
      <c r="A42" s="151">
        <v>5</v>
      </c>
      <c r="B42" s="171"/>
      <c r="C42" s="164" t="s">
        <v>93</v>
      </c>
      <c r="D42" s="158" t="s">
        <v>3</v>
      </c>
      <c r="E42" s="149"/>
      <c r="F42" s="172"/>
      <c r="G42" s="149"/>
      <c r="H42" s="173">
        <f>SUM(H43:H47)</f>
        <v>4608.41</v>
      </c>
      <c r="J42" s="172"/>
    </row>
    <row r="43" spans="1:14" ht="65.25" customHeight="1" x14ac:dyDescent="0.2">
      <c r="A43" s="144" t="s">
        <v>96</v>
      </c>
      <c r="B43" s="171" t="s">
        <v>94</v>
      </c>
      <c r="C43" s="165" t="s">
        <v>95</v>
      </c>
      <c r="D43" s="158" t="s">
        <v>26</v>
      </c>
      <c r="E43" s="149">
        <f>71.96+116.6</f>
        <v>188.56</v>
      </c>
      <c r="F43" s="154">
        <f t="shared" si="4"/>
        <v>19.325688</v>
      </c>
      <c r="G43" s="149">
        <f t="shared" ref="G43:G79" si="5">ROUND(F43+(F43*$H$8),2)</f>
        <v>24.44</v>
      </c>
      <c r="H43" s="159">
        <f t="shared" si="2"/>
        <v>4608.41</v>
      </c>
      <c r="J43" s="172">
        <v>21.54</v>
      </c>
    </row>
    <row r="44" spans="1:14" ht="55.5" customHeight="1" x14ac:dyDescent="0.2">
      <c r="A44" s="144" t="s">
        <v>99</v>
      </c>
      <c r="B44" s="163" t="s">
        <v>97</v>
      </c>
      <c r="C44" s="165" t="s">
        <v>98</v>
      </c>
      <c r="D44" s="116" t="s">
        <v>24</v>
      </c>
      <c r="E44" s="149"/>
      <c r="F44" s="154">
        <f t="shared" si="4"/>
        <v>64.104939999999999</v>
      </c>
      <c r="G44" s="149">
        <f t="shared" si="5"/>
        <v>81.05</v>
      </c>
      <c r="H44" s="159">
        <f t="shared" si="2"/>
        <v>0</v>
      </c>
      <c r="J44" s="154">
        <v>71.45</v>
      </c>
    </row>
    <row r="45" spans="1:14" ht="32.25" customHeight="1" x14ac:dyDescent="0.2">
      <c r="A45" s="144" t="s">
        <v>102</v>
      </c>
      <c r="B45" s="163" t="s">
        <v>100</v>
      </c>
      <c r="C45" s="165" t="s">
        <v>101</v>
      </c>
      <c r="D45" s="116" t="s">
        <v>24</v>
      </c>
      <c r="E45" s="149"/>
      <c r="F45" s="154">
        <f t="shared" si="4"/>
        <v>39.745959999999997</v>
      </c>
      <c r="G45" s="149">
        <f t="shared" si="5"/>
        <v>50.25</v>
      </c>
      <c r="H45" s="159">
        <f t="shared" si="2"/>
        <v>0</v>
      </c>
      <c r="J45" s="154">
        <v>44.3</v>
      </c>
    </row>
    <row r="46" spans="1:14" ht="25.5" customHeight="1" x14ac:dyDescent="0.2">
      <c r="A46" s="144" t="s">
        <v>103</v>
      </c>
      <c r="B46" s="163" t="s">
        <v>196</v>
      </c>
      <c r="C46" s="165" t="s">
        <v>197</v>
      </c>
      <c r="D46" s="116" t="s">
        <v>26</v>
      </c>
      <c r="E46" s="149"/>
      <c r="F46" s="154">
        <f t="shared" si="4"/>
        <v>26.916</v>
      </c>
      <c r="G46" s="149">
        <f t="shared" si="5"/>
        <v>34.03</v>
      </c>
      <c r="H46" s="159">
        <f t="shared" si="2"/>
        <v>0</v>
      </c>
      <c r="I46" s="168"/>
      <c r="J46" s="154">
        <v>30</v>
      </c>
    </row>
    <row r="47" spans="1:14" ht="52.5" customHeight="1" x14ac:dyDescent="0.2">
      <c r="A47" s="144" t="s">
        <v>106</v>
      </c>
      <c r="B47" s="163" t="s">
        <v>104</v>
      </c>
      <c r="C47" s="165" t="s">
        <v>105</v>
      </c>
      <c r="D47" s="116" t="s">
        <v>24</v>
      </c>
      <c r="E47" s="149"/>
      <c r="F47" s="154">
        <f t="shared" si="4"/>
        <v>80.380148000000005</v>
      </c>
      <c r="G47" s="149">
        <f t="shared" si="5"/>
        <v>101.63</v>
      </c>
      <c r="H47" s="159">
        <f t="shared" si="2"/>
        <v>0</v>
      </c>
      <c r="J47" s="154">
        <v>89.59</v>
      </c>
      <c r="N47" s="168"/>
    </row>
    <row r="48" spans="1:14" x14ac:dyDescent="0.2">
      <c r="A48" s="151">
        <v>6</v>
      </c>
      <c r="B48" s="163"/>
      <c r="C48" s="164" t="s">
        <v>107</v>
      </c>
      <c r="D48" s="116" t="s">
        <v>3</v>
      </c>
      <c r="E48" s="149"/>
      <c r="F48" s="154"/>
      <c r="G48" s="149"/>
      <c r="H48" s="150">
        <f>SUM(H49:H55)</f>
        <v>341</v>
      </c>
      <c r="J48" s="154"/>
    </row>
    <row r="49" spans="1:11" ht="57.75" customHeight="1" x14ac:dyDescent="0.2">
      <c r="A49" s="144" t="s">
        <v>110</v>
      </c>
      <c r="B49" s="163" t="s">
        <v>108</v>
      </c>
      <c r="C49" s="165" t="s">
        <v>109</v>
      </c>
      <c r="D49" s="116" t="s">
        <v>26</v>
      </c>
      <c r="E49" s="149">
        <v>15.5</v>
      </c>
      <c r="F49" s="154">
        <f t="shared" si="4"/>
        <v>17.396708</v>
      </c>
      <c r="G49" s="149">
        <f t="shared" si="5"/>
        <v>22</v>
      </c>
      <c r="H49" s="159">
        <f t="shared" ref="H49:H55" si="6">ROUND(E49*G49,2)</f>
        <v>341</v>
      </c>
      <c r="J49" s="154">
        <v>19.39</v>
      </c>
    </row>
    <row r="50" spans="1:11" ht="51.75" customHeight="1" x14ac:dyDescent="0.2">
      <c r="A50" s="144" t="s">
        <v>113</v>
      </c>
      <c r="B50" s="163" t="s">
        <v>111</v>
      </c>
      <c r="C50" s="165" t="s">
        <v>112</v>
      </c>
      <c r="D50" s="116" t="s">
        <v>73</v>
      </c>
      <c r="E50" s="149"/>
      <c r="F50" s="154">
        <f t="shared" si="4"/>
        <v>311.73214000000002</v>
      </c>
      <c r="G50" s="149">
        <f t="shared" si="5"/>
        <v>394.15</v>
      </c>
      <c r="H50" s="159">
        <f t="shared" si="6"/>
        <v>0</v>
      </c>
      <c r="J50" s="154">
        <v>347.45</v>
      </c>
    </row>
    <row r="51" spans="1:11" ht="53.25" customHeight="1" x14ac:dyDescent="0.2">
      <c r="A51" s="144" t="s">
        <v>116</v>
      </c>
      <c r="B51" s="163" t="s">
        <v>114</v>
      </c>
      <c r="C51" s="165" t="s">
        <v>115</v>
      </c>
      <c r="D51" s="116" t="s">
        <v>73</v>
      </c>
      <c r="E51" s="149"/>
      <c r="F51" s="154">
        <f t="shared" si="4"/>
        <v>308.25100399999997</v>
      </c>
      <c r="G51" s="149">
        <f t="shared" si="5"/>
        <v>389.75</v>
      </c>
      <c r="H51" s="159">
        <f t="shared" si="6"/>
        <v>0</v>
      </c>
      <c r="J51" s="154">
        <v>343.57</v>
      </c>
    </row>
    <row r="52" spans="1:11" ht="52.5" customHeight="1" x14ac:dyDescent="0.2">
      <c r="A52" s="144" t="s">
        <v>121</v>
      </c>
      <c r="B52" s="163" t="s">
        <v>117</v>
      </c>
      <c r="C52" s="165" t="s">
        <v>118</v>
      </c>
      <c r="D52" s="116" t="s">
        <v>24</v>
      </c>
      <c r="E52" s="149"/>
      <c r="F52" s="154">
        <f t="shared" si="4"/>
        <v>328.19576000000001</v>
      </c>
      <c r="G52" s="149">
        <f t="shared" si="5"/>
        <v>414.97</v>
      </c>
      <c r="H52" s="159">
        <f t="shared" si="6"/>
        <v>0</v>
      </c>
      <c r="J52" s="154">
        <v>365.8</v>
      </c>
    </row>
    <row r="53" spans="1:11" ht="52.5" customHeight="1" x14ac:dyDescent="0.2">
      <c r="A53" s="144" t="s">
        <v>124</v>
      </c>
      <c r="B53" s="163" t="s">
        <v>119</v>
      </c>
      <c r="C53" s="165" t="s">
        <v>120</v>
      </c>
      <c r="D53" s="116" t="s">
        <v>24</v>
      </c>
      <c r="E53" s="149"/>
      <c r="F53" s="154">
        <f t="shared" si="4"/>
        <v>401.48802799999999</v>
      </c>
      <c r="G53" s="149">
        <f t="shared" si="5"/>
        <v>507.64</v>
      </c>
      <c r="H53" s="159">
        <f t="shared" si="6"/>
        <v>0</v>
      </c>
      <c r="J53" s="154">
        <v>447.49</v>
      </c>
    </row>
    <row r="54" spans="1:11" ht="63.75" x14ac:dyDescent="0.2">
      <c r="A54" s="144" t="s">
        <v>209</v>
      </c>
      <c r="B54" s="163" t="s">
        <v>122</v>
      </c>
      <c r="C54" s="165" t="s">
        <v>123</v>
      </c>
      <c r="D54" s="116" t="s">
        <v>73</v>
      </c>
      <c r="E54" s="149"/>
      <c r="F54" s="154">
        <f t="shared" si="4"/>
        <v>101.903976</v>
      </c>
      <c r="G54" s="149">
        <f t="shared" si="5"/>
        <v>128.85</v>
      </c>
      <c r="H54" s="159">
        <f t="shared" si="6"/>
        <v>0</v>
      </c>
      <c r="J54" s="154">
        <v>113.58</v>
      </c>
    </row>
    <row r="55" spans="1:11" ht="42" customHeight="1" x14ac:dyDescent="0.2">
      <c r="A55" s="144" t="s">
        <v>210</v>
      </c>
      <c r="B55" s="163" t="s">
        <v>125</v>
      </c>
      <c r="C55" s="165" t="s">
        <v>126</v>
      </c>
      <c r="D55" s="116" t="s">
        <v>73</v>
      </c>
      <c r="E55" s="147"/>
      <c r="F55" s="154">
        <f t="shared" si="4"/>
        <v>21.550743999999998</v>
      </c>
      <c r="G55" s="149">
        <f t="shared" si="5"/>
        <v>27.25</v>
      </c>
      <c r="H55" s="159">
        <f t="shared" si="6"/>
        <v>0</v>
      </c>
      <c r="J55" s="154">
        <v>24.02</v>
      </c>
    </row>
    <row r="56" spans="1:11" x14ac:dyDescent="0.2">
      <c r="A56" s="151">
        <v>7</v>
      </c>
      <c r="B56" s="163"/>
      <c r="C56" s="164" t="s">
        <v>127</v>
      </c>
      <c r="D56" s="116" t="s">
        <v>3</v>
      </c>
      <c r="E56" s="147"/>
      <c r="F56" s="154"/>
      <c r="G56" s="149"/>
      <c r="H56" s="150">
        <f>SUM(H57:H61)</f>
        <v>0</v>
      </c>
      <c r="J56" s="154"/>
    </row>
    <row r="57" spans="1:11" ht="28.5" customHeight="1" x14ac:dyDescent="0.2">
      <c r="A57" s="144" t="s">
        <v>128</v>
      </c>
      <c r="B57" s="163" t="s">
        <v>196</v>
      </c>
      <c r="C57" s="165" t="s">
        <v>199</v>
      </c>
      <c r="D57" s="116" t="s">
        <v>24</v>
      </c>
      <c r="E57" s="147"/>
      <c r="F57" s="154">
        <f t="shared" si="4"/>
        <v>17.558204</v>
      </c>
      <c r="G57" s="149">
        <f t="shared" si="5"/>
        <v>22.2</v>
      </c>
      <c r="H57" s="159">
        <f t="shared" ref="H57:H61" si="7">ROUND(E57*G57,2)</f>
        <v>0</v>
      </c>
      <c r="J57" s="154">
        <v>19.57</v>
      </c>
      <c r="K57" s="120">
        <f>15*17</f>
        <v>255</v>
      </c>
    </row>
    <row r="58" spans="1:11" ht="24" customHeight="1" x14ac:dyDescent="0.2">
      <c r="A58" s="144" t="s">
        <v>129</v>
      </c>
      <c r="B58" s="163" t="s">
        <v>196</v>
      </c>
      <c r="C58" s="165" t="s">
        <v>198</v>
      </c>
      <c r="D58" s="116" t="s">
        <v>24</v>
      </c>
      <c r="E58" s="147"/>
      <c r="F58" s="154">
        <f t="shared" si="4"/>
        <v>30.101059999999997</v>
      </c>
      <c r="G58" s="149">
        <f t="shared" si="5"/>
        <v>38.06</v>
      </c>
      <c r="H58" s="159">
        <f t="shared" si="7"/>
        <v>0</v>
      </c>
      <c r="J58" s="154">
        <v>33.549999999999997</v>
      </c>
    </row>
    <row r="59" spans="1:11" ht="40.5" customHeight="1" x14ac:dyDescent="0.2">
      <c r="A59" s="144" t="s">
        <v>134</v>
      </c>
      <c r="B59" s="163" t="s">
        <v>130</v>
      </c>
      <c r="C59" s="165" t="s">
        <v>131</v>
      </c>
      <c r="D59" s="116" t="s">
        <v>24</v>
      </c>
      <c r="E59" s="147"/>
      <c r="F59" s="154">
        <f t="shared" si="4"/>
        <v>13.897628000000001</v>
      </c>
      <c r="G59" s="149">
        <f t="shared" si="5"/>
        <v>17.57</v>
      </c>
      <c r="H59" s="159">
        <f t="shared" si="7"/>
        <v>0</v>
      </c>
      <c r="J59" s="154">
        <v>15.49</v>
      </c>
    </row>
    <row r="60" spans="1:11" ht="43.5" customHeight="1" x14ac:dyDescent="0.2">
      <c r="A60" s="144" t="s">
        <v>137</v>
      </c>
      <c r="B60" s="163" t="s">
        <v>132</v>
      </c>
      <c r="C60" s="165" t="s">
        <v>133</v>
      </c>
      <c r="D60" s="116" t="s">
        <v>24</v>
      </c>
      <c r="E60" s="147"/>
      <c r="F60" s="154">
        <f t="shared" si="4"/>
        <v>14.229592</v>
      </c>
      <c r="G60" s="149">
        <f t="shared" si="5"/>
        <v>17.989999999999998</v>
      </c>
      <c r="H60" s="159">
        <f t="shared" si="7"/>
        <v>0</v>
      </c>
      <c r="J60" s="154">
        <v>15.86</v>
      </c>
    </row>
    <row r="61" spans="1:11" ht="41.25" customHeight="1" x14ac:dyDescent="0.2">
      <c r="A61" s="144" t="s">
        <v>138</v>
      </c>
      <c r="B61" s="163" t="s">
        <v>135</v>
      </c>
      <c r="C61" s="165" t="s">
        <v>136</v>
      </c>
      <c r="D61" s="116" t="s">
        <v>24</v>
      </c>
      <c r="E61" s="147"/>
      <c r="F61" s="154">
        <f t="shared" si="4"/>
        <v>6.4329239999999999</v>
      </c>
      <c r="G61" s="149">
        <f t="shared" si="5"/>
        <v>8.1300000000000008</v>
      </c>
      <c r="H61" s="159">
        <f t="shared" si="7"/>
        <v>0</v>
      </c>
      <c r="J61" s="154">
        <v>7.17</v>
      </c>
    </row>
    <row r="62" spans="1:11" x14ac:dyDescent="0.2">
      <c r="A62" s="151">
        <v>8</v>
      </c>
      <c r="B62" s="163"/>
      <c r="C62" s="164" t="s">
        <v>139</v>
      </c>
      <c r="D62" s="116" t="s">
        <v>3</v>
      </c>
      <c r="E62" s="147"/>
      <c r="F62" s="154"/>
      <c r="G62" s="149"/>
      <c r="H62" s="150">
        <f>SUM(H63:H70)</f>
        <v>0</v>
      </c>
      <c r="J62" s="154"/>
    </row>
    <row r="63" spans="1:11" ht="52.5" customHeight="1" x14ac:dyDescent="0.2">
      <c r="A63" s="144" t="s">
        <v>140</v>
      </c>
      <c r="B63" s="163" t="s">
        <v>141</v>
      </c>
      <c r="C63" s="165" t="s">
        <v>142</v>
      </c>
      <c r="D63" s="116" t="s">
        <v>143</v>
      </c>
      <c r="E63" s="147"/>
      <c r="F63" s="154">
        <f t="shared" si="4"/>
        <v>155.000272</v>
      </c>
      <c r="G63" s="149">
        <f t="shared" si="5"/>
        <v>195.98</v>
      </c>
      <c r="H63" s="159">
        <f t="shared" ref="H63:H70" si="8">ROUND(E63*G63,2)</f>
        <v>0</v>
      </c>
      <c r="J63" s="154">
        <v>172.76</v>
      </c>
    </row>
    <row r="64" spans="1:11" ht="39" customHeight="1" x14ac:dyDescent="0.2">
      <c r="A64" s="144" t="s">
        <v>144</v>
      </c>
      <c r="B64" s="163" t="s">
        <v>145</v>
      </c>
      <c r="C64" s="165" t="s">
        <v>146</v>
      </c>
      <c r="D64" s="116" t="s">
        <v>19</v>
      </c>
      <c r="E64" s="147"/>
      <c r="F64" s="154">
        <f t="shared" si="4"/>
        <v>3.7233800000000001</v>
      </c>
      <c r="G64" s="149">
        <f t="shared" si="5"/>
        <v>4.71</v>
      </c>
      <c r="H64" s="159">
        <f t="shared" si="8"/>
        <v>0</v>
      </c>
      <c r="J64" s="154">
        <v>4.1500000000000004</v>
      </c>
    </row>
    <row r="65" spans="1:10" ht="38.25" customHeight="1" x14ac:dyDescent="0.2">
      <c r="A65" s="144" t="s">
        <v>147</v>
      </c>
      <c r="B65" s="163" t="s">
        <v>148</v>
      </c>
      <c r="C65" s="165" t="s">
        <v>149</v>
      </c>
      <c r="D65" s="116" t="s">
        <v>19</v>
      </c>
      <c r="E65" s="147"/>
      <c r="F65" s="154">
        <f t="shared" si="4"/>
        <v>6.8097479999999999</v>
      </c>
      <c r="G65" s="149">
        <f t="shared" si="5"/>
        <v>8.61</v>
      </c>
      <c r="H65" s="159">
        <f t="shared" si="8"/>
        <v>0</v>
      </c>
      <c r="J65" s="154">
        <v>7.59</v>
      </c>
    </row>
    <row r="66" spans="1:10" ht="48" customHeight="1" x14ac:dyDescent="0.2">
      <c r="A66" s="144" t="s">
        <v>150</v>
      </c>
      <c r="B66" s="163" t="s">
        <v>151</v>
      </c>
      <c r="C66" s="165" t="s">
        <v>152</v>
      </c>
      <c r="D66" s="116" t="s">
        <v>73</v>
      </c>
      <c r="E66" s="147"/>
      <c r="F66" s="154">
        <f t="shared" si="4"/>
        <v>24.726831999999998</v>
      </c>
      <c r="G66" s="149">
        <f t="shared" si="5"/>
        <v>31.26</v>
      </c>
      <c r="H66" s="159">
        <f t="shared" si="8"/>
        <v>0</v>
      </c>
      <c r="J66" s="154">
        <v>27.56</v>
      </c>
    </row>
    <row r="67" spans="1:10" ht="53.25" customHeight="1" x14ac:dyDescent="0.2">
      <c r="A67" s="144" t="s">
        <v>153</v>
      </c>
      <c r="B67" s="163" t="s">
        <v>154</v>
      </c>
      <c r="C67" s="165" t="s">
        <v>155</v>
      </c>
      <c r="D67" s="116" t="s">
        <v>73</v>
      </c>
      <c r="E67" s="147"/>
      <c r="F67" s="154">
        <f t="shared" si="4"/>
        <v>60.964739999999999</v>
      </c>
      <c r="G67" s="149">
        <f t="shared" si="5"/>
        <v>77.08</v>
      </c>
      <c r="H67" s="159">
        <f t="shared" si="8"/>
        <v>0</v>
      </c>
      <c r="J67" s="154">
        <v>67.95</v>
      </c>
    </row>
    <row r="68" spans="1:10" ht="39" customHeight="1" x14ac:dyDescent="0.2">
      <c r="A68" s="144" t="s">
        <v>156</v>
      </c>
      <c r="B68" s="163" t="s">
        <v>157</v>
      </c>
      <c r="C68" s="165" t="s">
        <v>158</v>
      </c>
      <c r="D68" s="116" t="s">
        <v>73</v>
      </c>
      <c r="E68" s="147"/>
      <c r="F68" s="154">
        <f t="shared" si="4"/>
        <v>156.37298799999999</v>
      </c>
      <c r="G68" s="149">
        <f t="shared" si="5"/>
        <v>197.72</v>
      </c>
      <c r="H68" s="159">
        <f t="shared" si="8"/>
        <v>0</v>
      </c>
      <c r="J68" s="154">
        <v>174.29</v>
      </c>
    </row>
    <row r="69" spans="1:10" ht="27.75" customHeight="1" x14ac:dyDescent="0.2">
      <c r="A69" s="144" t="s">
        <v>211</v>
      </c>
      <c r="B69" s="163" t="s">
        <v>159</v>
      </c>
      <c r="C69" s="165" t="s">
        <v>160</v>
      </c>
      <c r="D69" s="116" t="s">
        <v>73</v>
      </c>
      <c r="E69" s="147"/>
      <c r="F69" s="154">
        <f t="shared" si="4"/>
        <v>17.073716000000001</v>
      </c>
      <c r="G69" s="149">
        <f t="shared" si="5"/>
        <v>21.59</v>
      </c>
      <c r="H69" s="159">
        <f t="shared" si="8"/>
        <v>0</v>
      </c>
      <c r="J69" s="154">
        <v>19.03</v>
      </c>
    </row>
    <row r="70" spans="1:10" ht="28.5" customHeight="1" x14ac:dyDescent="0.2">
      <c r="A70" s="144" t="s">
        <v>212</v>
      </c>
      <c r="B70" s="163" t="s">
        <v>161</v>
      </c>
      <c r="C70" s="165" t="s">
        <v>162</v>
      </c>
      <c r="D70" s="116" t="s">
        <v>73</v>
      </c>
      <c r="E70" s="147"/>
      <c r="F70" s="154">
        <f t="shared" si="4"/>
        <v>35.484259999999999</v>
      </c>
      <c r="G70" s="149">
        <f t="shared" si="5"/>
        <v>44.87</v>
      </c>
      <c r="H70" s="159">
        <f t="shared" si="8"/>
        <v>0</v>
      </c>
      <c r="J70" s="154">
        <v>39.549999999999997</v>
      </c>
    </row>
    <row r="71" spans="1:10" x14ac:dyDescent="0.2">
      <c r="A71" s="151">
        <v>9</v>
      </c>
      <c r="B71" s="163"/>
      <c r="C71" s="164" t="s">
        <v>163</v>
      </c>
      <c r="D71" s="116" t="s">
        <v>3</v>
      </c>
      <c r="E71" s="147"/>
      <c r="F71" s="154"/>
      <c r="G71" s="149"/>
      <c r="H71" s="150">
        <f>SUM(H72:H77)</f>
        <v>0</v>
      </c>
      <c r="J71" s="154"/>
    </row>
    <row r="72" spans="1:10" ht="51.75" customHeight="1" x14ac:dyDescent="0.2">
      <c r="A72" s="144" t="s">
        <v>164</v>
      </c>
      <c r="B72" s="163" t="s">
        <v>165</v>
      </c>
      <c r="C72" s="165" t="s">
        <v>166</v>
      </c>
      <c r="D72" s="116" t="s">
        <v>73</v>
      </c>
      <c r="E72" s="147"/>
      <c r="F72" s="154">
        <f t="shared" si="4"/>
        <v>509.44810400000006</v>
      </c>
      <c r="G72" s="149">
        <f t="shared" si="5"/>
        <v>644.15</v>
      </c>
      <c r="H72" s="159">
        <f t="shared" ref="H72:H77" si="9">ROUND(E72*G72,2)</f>
        <v>0</v>
      </c>
      <c r="J72" s="154">
        <v>567.82000000000005</v>
      </c>
    </row>
    <row r="73" spans="1:10" ht="39.75" customHeight="1" x14ac:dyDescent="0.2">
      <c r="A73" s="144" t="s">
        <v>167</v>
      </c>
      <c r="B73" s="163" t="s">
        <v>170</v>
      </c>
      <c r="C73" s="165" t="s">
        <v>171</v>
      </c>
      <c r="D73" s="116" t="s">
        <v>73</v>
      </c>
      <c r="E73" s="147"/>
      <c r="F73" s="154">
        <f t="shared" si="4"/>
        <v>198.58624800000001</v>
      </c>
      <c r="G73" s="149">
        <f t="shared" si="5"/>
        <v>251.09</v>
      </c>
      <c r="H73" s="159">
        <f t="shared" si="9"/>
        <v>0</v>
      </c>
      <c r="J73" s="154">
        <v>221.34</v>
      </c>
    </row>
    <row r="74" spans="1:10" ht="28.5" customHeight="1" x14ac:dyDescent="0.2">
      <c r="A74" s="144" t="s">
        <v>168</v>
      </c>
      <c r="B74" s="163" t="s">
        <v>173</v>
      </c>
      <c r="C74" s="165" t="s">
        <v>174</v>
      </c>
      <c r="D74" s="116" t="s">
        <v>143</v>
      </c>
      <c r="E74" s="147"/>
      <c r="F74" s="154">
        <f t="shared" si="4"/>
        <v>620.53043600000001</v>
      </c>
      <c r="G74" s="149">
        <f t="shared" si="5"/>
        <v>784.6</v>
      </c>
      <c r="H74" s="159">
        <f t="shared" si="9"/>
        <v>0</v>
      </c>
      <c r="J74" s="154">
        <v>691.63</v>
      </c>
    </row>
    <row r="75" spans="1:10" ht="30.75" customHeight="1" x14ac:dyDescent="0.2">
      <c r="A75" s="144" t="s">
        <v>169</v>
      </c>
      <c r="B75" s="163" t="s">
        <v>176</v>
      </c>
      <c r="C75" s="165" t="s">
        <v>177</v>
      </c>
      <c r="D75" s="116" t="s">
        <v>143</v>
      </c>
      <c r="E75" s="147"/>
      <c r="F75" s="154">
        <f t="shared" si="4"/>
        <v>223.39382800000001</v>
      </c>
      <c r="G75" s="149">
        <f t="shared" si="5"/>
        <v>282.45999999999998</v>
      </c>
      <c r="H75" s="159">
        <f t="shared" si="9"/>
        <v>0</v>
      </c>
      <c r="J75" s="154">
        <v>248.99</v>
      </c>
    </row>
    <row r="76" spans="1:10" ht="21.75" customHeight="1" x14ac:dyDescent="0.2">
      <c r="A76" s="144" t="s">
        <v>172</v>
      </c>
      <c r="B76" s="163" t="s">
        <v>178</v>
      </c>
      <c r="C76" s="165" t="s">
        <v>179</v>
      </c>
      <c r="D76" s="116" t="s">
        <v>24</v>
      </c>
      <c r="E76" s="147"/>
      <c r="F76" s="154">
        <f t="shared" si="4"/>
        <v>324.71462400000001</v>
      </c>
      <c r="G76" s="149">
        <f t="shared" si="5"/>
        <v>410.57</v>
      </c>
      <c r="H76" s="159">
        <f t="shared" si="9"/>
        <v>0</v>
      </c>
      <c r="J76" s="154">
        <v>361.92</v>
      </c>
    </row>
    <row r="77" spans="1:10" ht="62.25" customHeight="1" x14ac:dyDescent="0.2">
      <c r="A77" s="144" t="s">
        <v>175</v>
      </c>
      <c r="B77" s="163" t="s">
        <v>180</v>
      </c>
      <c r="C77" s="165" t="s">
        <v>181</v>
      </c>
      <c r="D77" s="116" t="s">
        <v>73</v>
      </c>
      <c r="E77" s="147"/>
      <c r="F77" s="154">
        <f t="shared" si="4"/>
        <v>384.53992</v>
      </c>
      <c r="G77" s="149">
        <f t="shared" si="5"/>
        <v>486.21</v>
      </c>
      <c r="H77" s="159">
        <f t="shared" si="9"/>
        <v>0</v>
      </c>
      <c r="J77" s="154">
        <v>428.6</v>
      </c>
    </row>
    <row r="78" spans="1:10" x14ac:dyDescent="0.2">
      <c r="A78" s="151">
        <v>10</v>
      </c>
      <c r="B78" s="163"/>
      <c r="C78" s="164" t="s">
        <v>183</v>
      </c>
      <c r="D78" s="116" t="s">
        <v>3</v>
      </c>
      <c r="E78" s="147"/>
      <c r="F78" s="154"/>
      <c r="G78" s="149"/>
      <c r="H78" s="150">
        <f>SUM(H79:H79)</f>
        <v>0</v>
      </c>
      <c r="J78" s="154"/>
    </row>
    <row r="79" spans="1:10" x14ac:dyDescent="0.2">
      <c r="A79" s="144" t="s">
        <v>182</v>
      </c>
      <c r="B79" s="163" t="s">
        <v>184</v>
      </c>
      <c r="C79" s="165" t="s">
        <v>185</v>
      </c>
      <c r="D79" s="116" t="s">
        <v>24</v>
      </c>
      <c r="E79" s="147"/>
      <c r="F79" s="154">
        <f t="shared" si="4"/>
        <v>6.9263839999999997</v>
      </c>
      <c r="G79" s="149">
        <f t="shared" si="5"/>
        <v>8.76</v>
      </c>
      <c r="H79" s="159">
        <f>ROUND(E79*G79,2)</f>
        <v>0</v>
      </c>
      <c r="J79" s="154">
        <v>7.72</v>
      </c>
    </row>
    <row r="83" spans="3:8" x14ac:dyDescent="0.2">
      <c r="C83" s="174"/>
      <c r="D83" s="247"/>
      <c r="E83" s="247"/>
      <c r="F83" s="247"/>
      <c r="G83" s="247"/>
      <c r="H83" s="247"/>
    </row>
    <row r="84" spans="3:8" x14ac:dyDescent="0.2">
      <c r="C84" s="174"/>
      <c r="D84" s="247"/>
      <c r="E84" s="247"/>
      <c r="F84" s="247"/>
      <c r="G84" s="247"/>
      <c r="H84" s="247"/>
    </row>
    <row r="85" spans="3:8" x14ac:dyDescent="0.2">
      <c r="C85" s="175" t="s">
        <v>313</v>
      </c>
    </row>
    <row r="86" spans="3:8" x14ac:dyDescent="0.2">
      <c r="C86" s="176" t="s">
        <v>314</v>
      </c>
    </row>
  </sheetData>
  <mergeCells count="9">
    <mergeCell ref="O18:P18"/>
    <mergeCell ref="D83:H83"/>
    <mergeCell ref="D84:H84"/>
    <mergeCell ref="A2:H2"/>
    <mergeCell ref="A3:H3"/>
    <mergeCell ref="A4:H4"/>
    <mergeCell ref="A5:H5"/>
    <mergeCell ref="A6:H6"/>
    <mergeCell ref="B7:C7"/>
  </mergeCells>
  <printOptions horizontalCentered="1"/>
  <pageMargins left="0.19685039370078741" right="0.19685039370078741" top="0.39370078740157483" bottom="0.39370078740157483" header="0" footer="0.31496062992125984"/>
  <pageSetup paperSize="9" scale="90" fitToHeight="3" orientation="landscape" r:id="rId1"/>
  <headerFooter>
    <oddFooter>&amp;CAv. Irmã Tosta - Maria José Tosta, 61 - Esplanada - Pouso Alegre/MG    l    CNPJ  23.896.707 / 0001-23   l     Tel : (35) 99908.9053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6"/>
  <sheetViews>
    <sheetView topLeftCell="A55" zoomScale="90" zoomScaleNormal="90" workbookViewId="0">
      <selection activeCell="H57" sqref="H57:H58"/>
    </sheetView>
  </sheetViews>
  <sheetFormatPr defaultRowHeight="12.75" x14ac:dyDescent="0.2"/>
  <cols>
    <col min="1" max="1" width="6.5703125" style="120" customWidth="1"/>
    <col min="2" max="2" width="10.28515625" style="120" customWidth="1"/>
    <col min="3" max="3" width="65" style="120" customWidth="1"/>
    <col min="4" max="4" width="6.5703125" style="120" customWidth="1"/>
    <col min="5" max="5" width="13" style="120" customWidth="1"/>
    <col min="6" max="6" width="12.140625" style="120" customWidth="1"/>
    <col min="7" max="7" width="12.28515625" style="120" customWidth="1"/>
    <col min="8" max="8" width="14.28515625" style="120" customWidth="1"/>
    <col min="9" max="9" width="9.28515625" style="120" customWidth="1"/>
    <col min="10" max="10" width="12.140625" style="120" customWidth="1"/>
    <col min="11" max="13" width="10.5703125" style="120" bestFit="1" customWidth="1"/>
    <col min="14" max="16384" width="9.140625" style="120"/>
  </cols>
  <sheetData>
    <row r="1" spans="1:17" ht="62.25" customHeight="1" x14ac:dyDescent="0.2">
      <c r="A1" s="117"/>
      <c r="B1" s="118"/>
      <c r="C1" s="118"/>
      <c r="D1" s="118"/>
      <c r="E1" s="118"/>
      <c r="F1" s="118"/>
      <c r="G1" s="118"/>
      <c r="H1" s="118"/>
      <c r="I1" s="119"/>
      <c r="J1" s="119"/>
    </row>
    <row r="2" spans="1:17" ht="39.950000000000003" customHeight="1" x14ac:dyDescent="0.2">
      <c r="A2" s="248" t="s">
        <v>323</v>
      </c>
      <c r="B2" s="249"/>
      <c r="C2" s="249"/>
      <c r="D2" s="249"/>
      <c r="E2" s="249"/>
      <c r="F2" s="249"/>
      <c r="G2" s="249"/>
      <c r="H2" s="249"/>
    </row>
    <row r="3" spans="1:17" x14ac:dyDescent="0.2">
      <c r="A3" s="251" t="s">
        <v>0</v>
      </c>
      <c r="B3" s="251"/>
      <c r="C3" s="251"/>
      <c r="D3" s="251"/>
      <c r="E3" s="251"/>
      <c r="F3" s="251"/>
      <c r="G3" s="251"/>
      <c r="H3" s="251"/>
    </row>
    <row r="4" spans="1:17" x14ac:dyDescent="0.2">
      <c r="A4" s="252" t="s">
        <v>1</v>
      </c>
      <c r="B4" s="252"/>
      <c r="C4" s="252"/>
      <c r="D4" s="252"/>
      <c r="E4" s="252"/>
      <c r="F4" s="252"/>
      <c r="G4" s="252"/>
      <c r="H4" s="252"/>
    </row>
    <row r="5" spans="1:17" x14ac:dyDescent="0.2">
      <c r="A5" s="244" t="s">
        <v>324</v>
      </c>
      <c r="B5" s="244"/>
      <c r="C5" s="244"/>
      <c r="D5" s="244"/>
      <c r="E5" s="244"/>
      <c r="F5" s="244"/>
      <c r="G5" s="244"/>
      <c r="H5" s="244"/>
    </row>
    <row r="6" spans="1:17" x14ac:dyDescent="0.2">
      <c r="A6" s="245" t="s">
        <v>213</v>
      </c>
      <c r="B6" s="245"/>
      <c r="C6" s="245"/>
      <c r="D6" s="245"/>
      <c r="E6" s="245"/>
      <c r="F6" s="245"/>
      <c r="G6" s="245"/>
      <c r="H6" s="245"/>
    </row>
    <row r="7" spans="1:17" x14ac:dyDescent="0.2">
      <c r="A7" s="121" t="s">
        <v>2</v>
      </c>
      <c r="B7" s="246">
        <v>46007</v>
      </c>
      <c r="C7" s="246"/>
      <c r="D7" s="122"/>
      <c r="E7" s="123"/>
      <c r="F7" s="124"/>
      <c r="G7" s="125"/>
      <c r="H7" s="126" t="s">
        <v>3</v>
      </c>
      <c r="J7" s="124">
        <v>0.8972</v>
      </c>
    </row>
    <row r="8" spans="1:17" x14ac:dyDescent="0.2">
      <c r="A8" s="121"/>
      <c r="B8" s="127"/>
      <c r="C8" s="127"/>
      <c r="D8" s="128"/>
      <c r="E8" s="129"/>
      <c r="F8" s="124"/>
      <c r="G8" s="130" t="s">
        <v>4</v>
      </c>
      <c r="H8" s="131">
        <v>0.26440000000000002</v>
      </c>
      <c r="J8" s="124"/>
    </row>
    <row r="9" spans="1:17" ht="33" customHeight="1" x14ac:dyDescent="0.2">
      <c r="A9" s="132" t="s">
        <v>5</v>
      </c>
      <c r="B9" s="133" t="s">
        <v>6</v>
      </c>
      <c r="C9" s="134" t="s">
        <v>7</v>
      </c>
      <c r="D9" s="135" t="s">
        <v>8</v>
      </c>
      <c r="E9" s="136" t="s">
        <v>9</v>
      </c>
      <c r="F9" s="134" t="s">
        <v>10</v>
      </c>
      <c r="G9" s="134" t="s">
        <v>11</v>
      </c>
      <c r="H9" s="134" t="s">
        <v>12</v>
      </c>
      <c r="J9" s="134" t="s">
        <v>10</v>
      </c>
    </row>
    <row r="10" spans="1:17" x14ac:dyDescent="0.2">
      <c r="A10" s="137"/>
      <c r="B10" s="138"/>
      <c r="C10" s="139" t="s">
        <v>13</v>
      </c>
      <c r="D10" s="140"/>
      <c r="E10" s="141">
        <v>1015112.0900000002</v>
      </c>
      <c r="F10" s="142"/>
      <c r="G10" s="142"/>
      <c r="H10" s="143">
        <f>ROUND(H11,2)</f>
        <v>174700</v>
      </c>
      <c r="J10" s="142"/>
    </row>
    <row r="11" spans="1:17" ht="15.75" customHeight="1" x14ac:dyDescent="0.2">
      <c r="A11" s="144"/>
      <c r="B11" s="145"/>
      <c r="C11" s="146"/>
      <c r="D11" s="116" t="s">
        <v>3</v>
      </c>
      <c r="E11" s="147"/>
      <c r="F11" s="148"/>
      <c r="G11" s="149"/>
      <c r="H11" s="150">
        <f>SUM(H12+H20+H27+H42+H48+H56+H62+H71+H78+H14)</f>
        <v>174700</v>
      </c>
      <c r="J11" s="148"/>
    </row>
    <row r="12" spans="1:17" x14ac:dyDescent="0.2">
      <c r="A12" s="151">
        <v>1</v>
      </c>
      <c r="B12" s="152"/>
      <c r="C12" s="153" t="s">
        <v>14</v>
      </c>
      <c r="D12" s="116" t="s">
        <v>3</v>
      </c>
      <c r="E12" s="147"/>
      <c r="F12" s="154"/>
      <c r="G12" s="149"/>
      <c r="H12" s="150">
        <f>SUM(H13:H13)</f>
        <v>1334.38</v>
      </c>
      <c r="J12" s="154"/>
    </row>
    <row r="13" spans="1:17" ht="77.25" customHeight="1" x14ac:dyDescent="0.2">
      <c r="A13" s="155" t="s">
        <v>15</v>
      </c>
      <c r="B13" s="156" t="s">
        <v>16</v>
      </c>
      <c r="C13" s="157" t="s">
        <v>17</v>
      </c>
      <c r="D13" s="158" t="s">
        <v>18</v>
      </c>
      <c r="E13" s="149">
        <v>1</v>
      </c>
      <c r="F13" s="154">
        <f>J13*$J$7</f>
        <v>1055.3494439999999</v>
      </c>
      <c r="G13" s="149">
        <f>ROUND(F13+(F13*$H$8),2)</f>
        <v>1334.38</v>
      </c>
      <c r="H13" s="159">
        <f>E13*G13</f>
        <v>1334.38</v>
      </c>
      <c r="I13" s="160"/>
      <c r="J13" s="154">
        <v>1176.27</v>
      </c>
      <c r="K13" s="161"/>
      <c r="L13" s="161"/>
      <c r="M13" s="162"/>
    </row>
    <row r="14" spans="1:17" ht="18.75" customHeight="1" x14ac:dyDescent="0.2">
      <c r="A14" s="151">
        <v>2</v>
      </c>
      <c r="B14" s="163"/>
      <c r="C14" s="164" t="s">
        <v>28</v>
      </c>
      <c r="D14" s="116"/>
      <c r="E14" s="147"/>
      <c r="F14" s="154"/>
      <c r="G14" s="149"/>
      <c r="H14" s="150">
        <f>SUM(H15:H19)</f>
        <v>23778.47</v>
      </c>
      <c r="J14" s="154"/>
    </row>
    <row r="15" spans="1:17" ht="76.5" customHeight="1" x14ac:dyDescent="0.2">
      <c r="A15" s="144" t="s">
        <v>20</v>
      </c>
      <c r="B15" s="163" t="s">
        <v>29</v>
      </c>
      <c r="C15" s="165" t="s">
        <v>30</v>
      </c>
      <c r="D15" s="116" t="s">
        <v>24</v>
      </c>
      <c r="E15" s="147">
        <v>188.56</v>
      </c>
      <c r="F15" s="154">
        <f t="shared" ref="F15:F19" si="0">J15*$J$7</f>
        <v>15.548475999999999</v>
      </c>
      <c r="G15" s="149">
        <f t="shared" ref="G15:G41" si="1">ROUND(F15+(F15*$H$8),2)</f>
        <v>19.66</v>
      </c>
      <c r="H15" s="159">
        <f t="shared" ref="H15:H47" si="2">ROUND(E15*G15,2)</f>
        <v>3707.09</v>
      </c>
      <c r="J15" s="166">
        <v>17.329999999999998</v>
      </c>
    </row>
    <row r="16" spans="1:17" ht="50.25" customHeight="1" x14ac:dyDescent="0.2">
      <c r="A16" s="144" t="s">
        <v>21</v>
      </c>
      <c r="B16" s="163" t="s">
        <v>31</v>
      </c>
      <c r="C16" s="165" t="s">
        <v>32</v>
      </c>
      <c r="D16" s="116" t="s">
        <v>24</v>
      </c>
      <c r="E16" s="147">
        <v>188.56</v>
      </c>
      <c r="F16" s="154">
        <f t="shared" si="0"/>
        <v>9.2770480000000006</v>
      </c>
      <c r="G16" s="149">
        <f t="shared" si="1"/>
        <v>11.73</v>
      </c>
      <c r="H16" s="159">
        <f t="shared" si="2"/>
        <v>2211.81</v>
      </c>
      <c r="I16" s="167"/>
      <c r="J16" s="154">
        <v>10.34</v>
      </c>
      <c r="Q16" s="120" t="s">
        <v>190</v>
      </c>
    </row>
    <row r="17" spans="1:19" ht="40.5" customHeight="1" x14ac:dyDescent="0.2">
      <c r="A17" s="144" t="s">
        <v>22</v>
      </c>
      <c r="B17" s="163" t="s">
        <v>33</v>
      </c>
      <c r="C17" s="165" t="s">
        <v>34</v>
      </c>
      <c r="D17" s="116" t="s">
        <v>24</v>
      </c>
      <c r="E17" s="147">
        <f>((1.75+1.8)*2*3.1)+(4.3+3+3+2.45)*2.15+(31.5*1.85)</f>
        <v>107.69750000000001</v>
      </c>
      <c r="F17" s="154">
        <f t="shared" si="0"/>
        <v>58.811459999999997</v>
      </c>
      <c r="G17" s="149">
        <f t="shared" si="1"/>
        <v>74.36</v>
      </c>
      <c r="H17" s="159">
        <f t="shared" si="2"/>
        <v>8008.39</v>
      </c>
      <c r="I17" s="167">
        <f>((1.75+1.8)*2*3.1)+(4.3+3+3+2.45)*2.15+(31.5*1.85)</f>
        <v>107.69750000000001</v>
      </c>
      <c r="J17" s="154">
        <v>65.55</v>
      </c>
      <c r="Q17" s="120" t="s">
        <v>191</v>
      </c>
    </row>
    <row r="18" spans="1:19" ht="51.75" customHeight="1" x14ac:dyDescent="0.2">
      <c r="A18" s="144" t="s">
        <v>23</v>
      </c>
      <c r="B18" s="163" t="s">
        <v>35</v>
      </c>
      <c r="C18" s="165" t="s">
        <v>36</v>
      </c>
      <c r="D18" s="116" t="s">
        <v>19</v>
      </c>
      <c r="E18" s="147">
        <f>((1.75+1.8)*2)+(4.3+3+3+2.45)+60</f>
        <v>79.849999999999994</v>
      </c>
      <c r="F18" s="154">
        <f t="shared" si="0"/>
        <v>19.280828</v>
      </c>
      <c r="G18" s="149">
        <f t="shared" si="1"/>
        <v>24.38</v>
      </c>
      <c r="H18" s="159">
        <f t="shared" si="2"/>
        <v>1946.74</v>
      </c>
      <c r="I18" s="167"/>
      <c r="J18" s="154">
        <v>21.49</v>
      </c>
      <c r="O18" s="247" t="s">
        <v>189</v>
      </c>
      <c r="P18" s="247"/>
    </row>
    <row r="19" spans="1:19" ht="42" customHeight="1" x14ac:dyDescent="0.2">
      <c r="A19" s="144" t="s">
        <v>27</v>
      </c>
      <c r="B19" s="163" t="s">
        <v>37</v>
      </c>
      <c r="C19" s="165" t="s">
        <v>38</v>
      </c>
      <c r="D19" s="116" t="s">
        <v>24</v>
      </c>
      <c r="E19" s="147">
        <v>188.56</v>
      </c>
      <c r="F19" s="154">
        <f t="shared" si="0"/>
        <v>33.151540000000004</v>
      </c>
      <c r="G19" s="149">
        <f>ROUND(F19+(F19*$H$8),2)</f>
        <v>41.92</v>
      </c>
      <c r="H19" s="159">
        <f t="shared" si="2"/>
        <v>7904.44</v>
      </c>
      <c r="I19" s="168"/>
      <c r="J19" s="154">
        <v>36.950000000000003</v>
      </c>
      <c r="L19" s="168"/>
      <c r="P19" s="168"/>
    </row>
    <row r="20" spans="1:19" x14ac:dyDescent="0.2">
      <c r="A20" s="151">
        <v>3</v>
      </c>
      <c r="B20" s="163"/>
      <c r="C20" s="164" t="s">
        <v>40</v>
      </c>
      <c r="D20" s="116" t="s">
        <v>3</v>
      </c>
      <c r="E20" s="147"/>
      <c r="F20" s="154"/>
      <c r="G20" s="149"/>
      <c r="H20" s="150">
        <f>SUM(H21:H26)</f>
        <v>15899.98</v>
      </c>
      <c r="J20" s="154"/>
    </row>
    <row r="21" spans="1:19" ht="61.5" customHeight="1" x14ac:dyDescent="0.2">
      <c r="A21" s="144" t="s">
        <v>41</v>
      </c>
      <c r="B21" s="163" t="s">
        <v>39</v>
      </c>
      <c r="C21" s="165" t="s">
        <v>42</v>
      </c>
      <c r="D21" s="116" t="s">
        <v>25</v>
      </c>
      <c r="E21" s="147">
        <v>216</v>
      </c>
      <c r="F21" s="154">
        <f t="shared" ref="F21:F25" si="3">J21*$J$7</f>
        <v>19.191108</v>
      </c>
      <c r="G21" s="149">
        <f t="shared" si="1"/>
        <v>24.27</v>
      </c>
      <c r="H21" s="159">
        <f t="shared" si="2"/>
        <v>5242.32</v>
      </c>
      <c r="J21" s="154">
        <v>21.39</v>
      </c>
      <c r="K21" s="168"/>
      <c r="Q21" s="120">
        <f>84*114</f>
        <v>9576</v>
      </c>
      <c r="R21" s="120">
        <f>24*184</f>
        <v>4416</v>
      </c>
      <c r="S21" s="120">
        <f>R21+Q21</f>
        <v>13992</v>
      </c>
    </row>
    <row r="22" spans="1:19" ht="63" customHeight="1" x14ac:dyDescent="0.2">
      <c r="A22" s="144" t="s">
        <v>43</v>
      </c>
      <c r="B22" s="163" t="s">
        <v>44</v>
      </c>
      <c r="C22" s="165" t="s">
        <v>45</v>
      </c>
      <c r="D22" s="116" t="s">
        <v>26</v>
      </c>
      <c r="E22" s="147">
        <v>19.600000000000001</v>
      </c>
      <c r="F22" s="154">
        <f t="shared" si="3"/>
        <v>282.600056</v>
      </c>
      <c r="G22" s="149">
        <f t="shared" si="1"/>
        <v>357.32</v>
      </c>
      <c r="H22" s="159">
        <f t="shared" si="2"/>
        <v>7003.47</v>
      </c>
      <c r="J22" s="154">
        <v>314.98</v>
      </c>
      <c r="P22" s="168"/>
    </row>
    <row r="23" spans="1:19" ht="48.75" customHeight="1" x14ac:dyDescent="0.2">
      <c r="A23" s="144" t="s">
        <v>50</v>
      </c>
      <c r="B23" s="163" t="s">
        <v>46</v>
      </c>
      <c r="C23" s="165" t="s">
        <v>47</v>
      </c>
      <c r="D23" s="116" t="s">
        <v>24</v>
      </c>
      <c r="E23" s="147">
        <v>19.600000000000001</v>
      </c>
      <c r="F23" s="154">
        <f t="shared" si="3"/>
        <v>96.359279999999998</v>
      </c>
      <c r="G23" s="149">
        <f t="shared" si="1"/>
        <v>121.84</v>
      </c>
      <c r="H23" s="159">
        <f t="shared" si="2"/>
        <v>2388.06</v>
      </c>
      <c r="J23" s="154">
        <v>107.4</v>
      </c>
      <c r="P23" s="168"/>
    </row>
    <row r="24" spans="1:19" ht="42.75" customHeight="1" x14ac:dyDescent="0.2">
      <c r="A24" s="144" t="s">
        <v>53</v>
      </c>
      <c r="B24" s="163" t="s">
        <v>48</v>
      </c>
      <c r="C24" s="165" t="s">
        <v>49</v>
      </c>
      <c r="D24" s="116" t="s">
        <v>19</v>
      </c>
      <c r="E24" s="147">
        <v>5.75</v>
      </c>
      <c r="F24" s="154">
        <f t="shared" si="3"/>
        <v>42.285036000000005</v>
      </c>
      <c r="G24" s="149">
        <f t="shared" si="1"/>
        <v>53.47</v>
      </c>
      <c r="H24" s="159">
        <f t="shared" si="2"/>
        <v>307.45</v>
      </c>
      <c r="I24" s="168"/>
      <c r="J24" s="154">
        <v>47.13</v>
      </c>
      <c r="P24" s="168"/>
    </row>
    <row r="25" spans="1:19" ht="39" customHeight="1" x14ac:dyDescent="0.2">
      <c r="A25" s="144" t="s">
        <v>194</v>
      </c>
      <c r="B25" s="163" t="s">
        <v>51</v>
      </c>
      <c r="C25" s="165" t="s">
        <v>52</v>
      </c>
      <c r="D25" s="116" t="s">
        <v>19</v>
      </c>
      <c r="E25" s="147">
        <v>5.75</v>
      </c>
      <c r="F25" s="154">
        <f t="shared" si="3"/>
        <v>51.624887999999999</v>
      </c>
      <c r="G25" s="149">
        <f t="shared" si="1"/>
        <v>65.27</v>
      </c>
      <c r="H25" s="159">
        <f t="shared" si="2"/>
        <v>375.3</v>
      </c>
      <c r="J25" s="154">
        <v>57.54</v>
      </c>
    </row>
    <row r="26" spans="1:19" ht="41.25" customHeight="1" x14ac:dyDescent="0.2">
      <c r="A26" s="144" t="s">
        <v>200</v>
      </c>
      <c r="B26" s="163" t="s">
        <v>54</v>
      </c>
      <c r="C26" s="165" t="s">
        <v>55</v>
      </c>
      <c r="D26" s="116" t="s">
        <v>19</v>
      </c>
      <c r="E26" s="147">
        <v>6</v>
      </c>
      <c r="F26" s="154">
        <f>J26*$J$7</f>
        <v>76.899011999999999</v>
      </c>
      <c r="G26" s="149">
        <f t="shared" si="1"/>
        <v>97.23</v>
      </c>
      <c r="H26" s="159">
        <f t="shared" si="2"/>
        <v>583.38</v>
      </c>
      <c r="J26" s="154">
        <v>85.71</v>
      </c>
    </row>
    <row r="27" spans="1:19" x14ac:dyDescent="0.2">
      <c r="A27" s="151">
        <v>4</v>
      </c>
      <c r="B27" s="163"/>
      <c r="C27" s="164" t="s">
        <v>56</v>
      </c>
      <c r="D27" s="116" t="s">
        <v>3</v>
      </c>
      <c r="E27" s="147"/>
      <c r="F27" s="154"/>
      <c r="G27" s="149"/>
      <c r="H27" s="150">
        <f>SUM(H28:H41)</f>
        <v>13140.31</v>
      </c>
      <c r="J27" s="154"/>
    </row>
    <row r="28" spans="1:19" ht="63.75" customHeight="1" x14ac:dyDescent="0.2">
      <c r="A28" s="144" t="s">
        <v>60</v>
      </c>
      <c r="B28" s="163" t="s">
        <v>57</v>
      </c>
      <c r="C28" s="165" t="s">
        <v>58</v>
      </c>
      <c r="D28" s="116" t="s">
        <v>59</v>
      </c>
      <c r="E28" s="147">
        <v>6</v>
      </c>
      <c r="F28" s="154">
        <f t="shared" ref="F28:F79" si="4">J28*$J$7</f>
        <v>40.158671999999996</v>
      </c>
      <c r="G28" s="149">
        <f t="shared" si="1"/>
        <v>50.78</v>
      </c>
      <c r="H28" s="159">
        <f t="shared" si="2"/>
        <v>304.68</v>
      </c>
      <c r="J28" s="154">
        <v>44.76</v>
      </c>
    </row>
    <row r="29" spans="1:19" ht="84" customHeight="1" x14ac:dyDescent="0.2">
      <c r="A29" s="144" t="s">
        <v>64</v>
      </c>
      <c r="B29" s="169" t="s">
        <v>61</v>
      </c>
      <c r="C29" s="165" t="s">
        <v>62</v>
      </c>
      <c r="D29" s="116" t="s">
        <v>63</v>
      </c>
      <c r="E29" s="147">
        <v>3</v>
      </c>
      <c r="F29" s="154">
        <f t="shared" si="4"/>
        <v>149.42866000000001</v>
      </c>
      <c r="G29" s="149">
        <f>ROUND(F29+(F29*$H$8),2)</f>
        <v>188.94</v>
      </c>
      <c r="H29" s="159">
        <f>ROUND(E29*G29,2)</f>
        <v>566.82000000000005</v>
      </c>
      <c r="J29" s="154">
        <v>166.55</v>
      </c>
      <c r="K29" s="168"/>
      <c r="L29" s="168"/>
      <c r="Q29" s="120">
        <f>S21/288</f>
        <v>48.583333333333336</v>
      </c>
      <c r="R29" s="120">
        <f>Q29*2</f>
        <v>97.166666666666671</v>
      </c>
    </row>
    <row r="30" spans="1:19" ht="59.25" customHeight="1" x14ac:dyDescent="0.2">
      <c r="A30" s="144" t="s">
        <v>67</v>
      </c>
      <c r="B30" s="163" t="s">
        <v>65</v>
      </c>
      <c r="C30" s="165" t="s">
        <v>66</v>
      </c>
      <c r="D30" s="116" t="s">
        <v>63</v>
      </c>
      <c r="E30" s="147">
        <v>3</v>
      </c>
      <c r="F30" s="154">
        <f t="shared" si="4"/>
        <v>274.49833999999998</v>
      </c>
      <c r="G30" s="149">
        <f t="shared" si="1"/>
        <v>347.08</v>
      </c>
      <c r="H30" s="159">
        <f t="shared" si="2"/>
        <v>1041.24</v>
      </c>
      <c r="J30" s="154">
        <v>305.95</v>
      </c>
    </row>
    <row r="31" spans="1:19" ht="76.5" x14ac:dyDescent="0.2">
      <c r="A31" s="144" t="s">
        <v>70</v>
      </c>
      <c r="B31" s="163" t="s">
        <v>68</v>
      </c>
      <c r="C31" s="165" t="s">
        <v>69</v>
      </c>
      <c r="D31" s="116" t="s">
        <v>63</v>
      </c>
      <c r="E31" s="147">
        <v>4</v>
      </c>
      <c r="F31" s="154">
        <f t="shared" si="4"/>
        <v>196.71109999999999</v>
      </c>
      <c r="G31" s="149">
        <f t="shared" si="1"/>
        <v>248.72</v>
      </c>
      <c r="H31" s="159">
        <f t="shared" si="2"/>
        <v>994.88</v>
      </c>
      <c r="J31" s="154">
        <v>219.25</v>
      </c>
      <c r="K31" s="168"/>
    </row>
    <row r="32" spans="1:19" ht="25.5" x14ac:dyDescent="0.2">
      <c r="A32" s="144" t="s">
        <v>74</v>
      </c>
      <c r="B32" s="163" t="s">
        <v>71</v>
      </c>
      <c r="C32" s="165" t="s">
        <v>72</v>
      </c>
      <c r="D32" s="116" t="s">
        <v>73</v>
      </c>
      <c r="E32" s="147">
        <v>4</v>
      </c>
      <c r="F32" s="154">
        <f t="shared" si="4"/>
        <v>61.512032000000005</v>
      </c>
      <c r="G32" s="149">
        <f t="shared" si="1"/>
        <v>77.78</v>
      </c>
      <c r="H32" s="159">
        <f t="shared" si="2"/>
        <v>311.12</v>
      </c>
      <c r="J32" s="154">
        <v>68.56</v>
      </c>
      <c r="K32" s="168"/>
    </row>
    <row r="33" spans="1:14" ht="63.75" x14ac:dyDescent="0.2">
      <c r="A33" s="144" t="s">
        <v>76</v>
      </c>
      <c r="B33" s="169" t="s">
        <v>75</v>
      </c>
      <c r="C33" s="165" t="s">
        <v>195</v>
      </c>
      <c r="D33" s="116" t="s">
        <v>73</v>
      </c>
      <c r="E33" s="147">
        <v>6</v>
      </c>
      <c r="F33" s="154">
        <f t="shared" si="4"/>
        <v>123.63416000000001</v>
      </c>
      <c r="G33" s="149">
        <f t="shared" si="1"/>
        <v>156.32</v>
      </c>
      <c r="H33" s="159">
        <f t="shared" si="2"/>
        <v>937.92</v>
      </c>
      <c r="J33" s="154">
        <v>137.80000000000001</v>
      </c>
    </row>
    <row r="34" spans="1:14" ht="51" x14ac:dyDescent="0.2">
      <c r="A34" s="144" t="s">
        <v>201</v>
      </c>
      <c r="B34" s="163" t="s">
        <v>77</v>
      </c>
      <c r="C34" s="165" t="s">
        <v>78</v>
      </c>
      <c r="D34" s="116" t="s">
        <v>73</v>
      </c>
      <c r="E34" s="147">
        <v>1</v>
      </c>
      <c r="F34" s="154">
        <f t="shared" si="4"/>
        <v>800.02426800000001</v>
      </c>
      <c r="G34" s="149">
        <f t="shared" si="1"/>
        <v>1011.55</v>
      </c>
      <c r="H34" s="159">
        <f t="shared" si="2"/>
        <v>1011.55</v>
      </c>
      <c r="J34" s="154">
        <v>891.69</v>
      </c>
    </row>
    <row r="35" spans="1:14" ht="21.75" customHeight="1" x14ac:dyDescent="0.2">
      <c r="A35" s="144" t="s">
        <v>202</v>
      </c>
      <c r="B35" s="163" t="s">
        <v>79</v>
      </c>
      <c r="C35" s="165" t="s">
        <v>80</v>
      </c>
      <c r="D35" s="116" t="s">
        <v>73</v>
      </c>
      <c r="E35" s="147">
        <v>4</v>
      </c>
      <c r="F35" s="154">
        <f t="shared" si="4"/>
        <v>18.177272000000002</v>
      </c>
      <c r="G35" s="149">
        <f t="shared" si="1"/>
        <v>22.98</v>
      </c>
      <c r="H35" s="159">
        <f t="shared" si="2"/>
        <v>91.92</v>
      </c>
      <c r="J35" s="154">
        <v>20.260000000000002</v>
      </c>
    </row>
    <row r="36" spans="1:14" ht="25.5" x14ac:dyDescent="0.2">
      <c r="A36" s="144" t="s">
        <v>203</v>
      </c>
      <c r="B36" s="163" t="s">
        <v>81</v>
      </c>
      <c r="C36" s="165" t="s">
        <v>82</v>
      </c>
      <c r="D36" s="116" t="s">
        <v>73</v>
      </c>
      <c r="E36" s="147">
        <v>4</v>
      </c>
      <c r="F36" s="154">
        <f t="shared" si="4"/>
        <v>51.983767999999998</v>
      </c>
      <c r="G36" s="149">
        <f t="shared" si="1"/>
        <v>65.73</v>
      </c>
      <c r="H36" s="159">
        <f t="shared" si="2"/>
        <v>262.92</v>
      </c>
      <c r="J36" s="154">
        <v>57.94</v>
      </c>
    </row>
    <row r="37" spans="1:14" ht="38.25" x14ac:dyDescent="0.2">
      <c r="A37" s="144" t="s">
        <v>204</v>
      </c>
      <c r="B37" s="163" t="s">
        <v>83</v>
      </c>
      <c r="C37" s="165" t="s">
        <v>84</v>
      </c>
      <c r="D37" s="116" t="s">
        <v>73</v>
      </c>
      <c r="E37" s="147">
        <v>4</v>
      </c>
      <c r="F37" s="154">
        <f t="shared" si="4"/>
        <v>92.285991999999993</v>
      </c>
      <c r="G37" s="149">
        <f t="shared" si="1"/>
        <v>116.69</v>
      </c>
      <c r="H37" s="159">
        <f t="shared" si="2"/>
        <v>466.76</v>
      </c>
      <c r="J37" s="154">
        <v>102.86</v>
      </c>
    </row>
    <row r="38" spans="1:14" ht="38.25" x14ac:dyDescent="0.2">
      <c r="A38" s="144" t="s">
        <v>205</v>
      </c>
      <c r="B38" s="163" t="s">
        <v>85</v>
      </c>
      <c r="C38" s="165" t="s">
        <v>86</v>
      </c>
      <c r="D38" s="116" t="s">
        <v>19</v>
      </c>
      <c r="E38" s="147">
        <v>18</v>
      </c>
      <c r="F38" s="154">
        <f t="shared" si="4"/>
        <v>36.704451999999996</v>
      </c>
      <c r="G38" s="149">
        <f t="shared" si="1"/>
        <v>46.41</v>
      </c>
      <c r="H38" s="159">
        <f t="shared" si="2"/>
        <v>835.38</v>
      </c>
      <c r="I38" s="170"/>
      <c r="J38" s="154">
        <v>40.909999999999997</v>
      </c>
    </row>
    <row r="39" spans="1:14" ht="40.5" customHeight="1" x14ac:dyDescent="0.2">
      <c r="A39" s="144" t="s">
        <v>206</v>
      </c>
      <c r="B39" s="163" t="s">
        <v>87</v>
      </c>
      <c r="C39" s="165" t="s">
        <v>88</v>
      </c>
      <c r="D39" s="116" t="s">
        <v>19</v>
      </c>
      <c r="E39" s="147">
        <v>36</v>
      </c>
      <c r="F39" s="154">
        <f t="shared" si="4"/>
        <v>118.81619600000001</v>
      </c>
      <c r="G39" s="149">
        <f t="shared" si="1"/>
        <v>150.22999999999999</v>
      </c>
      <c r="H39" s="159">
        <f t="shared" si="2"/>
        <v>5408.28</v>
      </c>
      <c r="I39" s="170"/>
      <c r="J39" s="154">
        <v>132.43</v>
      </c>
    </row>
    <row r="40" spans="1:14" ht="25.5" customHeight="1" x14ac:dyDescent="0.2">
      <c r="A40" s="144" t="s">
        <v>207</v>
      </c>
      <c r="B40" s="163" t="s">
        <v>89</v>
      </c>
      <c r="C40" s="165" t="s">
        <v>90</v>
      </c>
      <c r="D40" s="116" t="s">
        <v>19</v>
      </c>
      <c r="E40" s="147">
        <v>18</v>
      </c>
      <c r="F40" s="154">
        <f t="shared" si="4"/>
        <v>18.957836</v>
      </c>
      <c r="G40" s="149">
        <f t="shared" si="1"/>
        <v>23.97</v>
      </c>
      <c r="H40" s="159">
        <f t="shared" si="2"/>
        <v>431.46</v>
      </c>
      <c r="I40" s="170"/>
      <c r="J40" s="154">
        <v>21.13</v>
      </c>
    </row>
    <row r="41" spans="1:14" ht="26.25" customHeight="1" x14ac:dyDescent="0.2">
      <c r="A41" s="144" t="s">
        <v>208</v>
      </c>
      <c r="B41" s="163" t="s">
        <v>91</v>
      </c>
      <c r="C41" s="165" t="s">
        <v>92</v>
      </c>
      <c r="D41" s="116" t="s">
        <v>19</v>
      </c>
      <c r="E41" s="147">
        <v>18</v>
      </c>
      <c r="F41" s="154">
        <f t="shared" si="4"/>
        <v>20.886816</v>
      </c>
      <c r="G41" s="149">
        <f t="shared" si="1"/>
        <v>26.41</v>
      </c>
      <c r="H41" s="159">
        <f t="shared" si="2"/>
        <v>475.38</v>
      </c>
      <c r="I41" s="170"/>
      <c r="J41" s="154">
        <v>23.28</v>
      </c>
    </row>
    <row r="42" spans="1:14" x14ac:dyDescent="0.2">
      <c r="A42" s="151">
        <v>5</v>
      </c>
      <c r="B42" s="171"/>
      <c r="C42" s="164" t="s">
        <v>93</v>
      </c>
      <c r="D42" s="158" t="s">
        <v>3</v>
      </c>
      <c r="E42" s="147"/>
      <c r="F42" s="172"/>
      <c r="G42" s="149"/>
      <c r="H42" s="173">
        <f>SUM(H43:H47)</f>
        <v>30631.690000000002</v>
      </c>
      <c r="J42" s="172"/>
    </row>
    <row r="43" spans="1:14" ht="65.25" customHeight="1" x14ac:dyDescent="0.2">
      <c r="A43" s="144" t="s">
        <v>96</v>
      </c>
      <c r="B43" s="171" t="s">
        <v>94</v>
      </c>
      <c r="C43" s="165" t="s">
        <v>95</v>
      </c>
      <c r="D43" s="158" t="s">
        <v>26</v>
      </c>
      <c r="E43" s="147">
        <v>188.56</v>
      </c>
      <c r="F43" s="154">
        <f t="shared" si="4"/>
        <v>19.325688</v>
      </c>
      <c r="G43" s="149">
        <f t="shared" ref="G43:G79" si="5">ROUND(F43+(F43*$H$8),2)</f>
        <v>24.44</v>
      </c>
      <c r="H43" s="159">
        <f t="shared" si="2"/>
        <v>4608.41</v>
      </c>
      <c r="J43" s="172">
        <v>21.54</v>
      </c>
    </row>
    <row r="44" spans="1:14" ht="55.5" customHeight="1" x14ac:dyDescent="0.2">
      <c r="A44" s="144" t="s">
        <v>99</v>
      </c>
      <c r="B44" s="163" t="s">
        <v>97</v>
      </c>
      <c r="C44" s="165" t="s">
        <v>98</v>
      </c>
      <c r="D44" s="116" t="s">
        <v>24</v>
      </c>
      <c r="E44" s="147">
        <v>188.56</v>
      </c>
      <c r="F44" s="154">
        <f t="shared" si="4"/>
        <v>64.104939999999999</v>
      </c>
      <c r="G44" s="149">
        <f t="shared" si="5"/>
        <v>81.05</v>
      </c>
      <c r="H44" s="159">
        <f t="shared" si="2"/>
        <v>15282.79</v>
      </c>
      <c r="J44" s="154">
        <v>71.45</v>
      </c>
    </row>
    <row r="45" spans="1:14" ht="32.25" customHeight="1" x14ac:dyDescent="0.2">
      <c r="A45" s="144" t="s">
        <v>102</v>
      </c>
      <c r="B45" s="163" t="s">
        <v>100</v>
      </c>
      <c r="C45" s="165" t="s">
        <v>101</v>
      </c>
      <c r="D45" s="116" t="s">
        <v>24</v>
      </c>
      <c r="E45" s="147">
        <v>21.2</v>
      </c>
      <c r="F45" s="154">
        <f t="shared" si="4"/>
        <v>39.745959999999997</v>
      </c>
      <c r="G45" s="149">
        <f t="shared" si="5"/>
        <v>50.25</v>
      </c>
      <c r="H45" s="159">
        <f t="shared" si="2"/>
        <v>1065.3</v>
      </c>
      <c r="J45" s="154">
        <v>44.3</v>
      </c>
    </row>
    <row r="46" spans="1:14" ht="25.5" customHeight="1" x14ac:dyDescent="0.2">
      <c r="A46" s="144" t="s">
        <v>103</v>
      </c>
      <c r="B46" s="163" t="s">
        <v>196</v>
      </c>
      <c r="C46" s="165" t="s">
        <v>197</v>
      </c>
      <c r="D46" s="116" t="s">
        <v>26</v>
      </c>
      <c r="E46" s="147">
        <v>221</v>
      </c>
      <c r="F46" s="154">
        <f t="shared" si="4"/>
        <v>26.916</v>
      </c>
      <c r="G46" s="149">
        <f t="shared" si="5"/>
        <v>34.03</v>
      </c>
      <c r="H46" s="159">
        <f t="shared" si="2"/>
        <v>7520.63</v>
      </c>
      <c r="I46" s="168"/>
      <c r="J46" s="154">
        <v>30</v>
      </c>
    </row>
    <row r="47" spans="1:14" ht="52.5" customHeight="1" x14ac:dyDescent="0.2">
      <c r="A47" s="144" t="s">
        <v>106</v>
      </c>
      <c r="B47" s="163" t="s">
        <v>104</v>
      </c>
      <c r="C47" s="165" t="s">
        <v>105</v>
      </c>
      <c r="D47" s="116" t="s">
        <v>24</v>
      </c>
      <c r="E47" s="147">
        <v>21.2</v>
      </c>
      <c r="F47" s="154">
        <f t="shared" si="4"/>
        <v>80.380148000000005</v>
      </c>
      <c r="G47" s="149">
        <f t="shared" si="5"/>
        <v>101.63</v>
      </c>
      <c r="H47" s="159">
        <f t="shared" si="2"/>
        <v>2154.56</v>
      </c>
      <c r="J47" s="154">
        <v>89.59</v>
      </c>
      <c r="N47" s="168"/>
    </row>
    <row r="48" spans="1:14" x14ac:dyDescent="0.2">
      <c r="A48" s="151">
        <v>6</v>
      </c>
      <c r="B48" s="163"/>
      <c r="C48" s="164" t="s">
        <v>107</v>
      </c>
      <c r="D48" s="116" t="s">
        <v>3</v>
      </c>
      <c r="E48" s="147"/>
      <c r="F48" s="154"/>
      <c r="G48" s="149"/>
      <c r="H48" s="150">
        <f>SUM(H49:H55)</f>
        <v>15725.089999999998</v>
      </c>
      <c r="J48" s="154"/>
    </row>
    <row r="49" spans="1:11" ht="57.75" customHeight="1" x14ac:dyDescent="0.2">
      <c r="A49" s="144" t="s">
        <v>110</v>
      </c>
      <c r="B49" s="163" t="s">
        <v>108</v>
      </c>
      <c r="C49" s="165" t="s">
        <v>109</v>
      </c>
      <c r="D49" s="116" t="s">
        <v>26</v>
      </c>
      <c r="E49" s="147">
        <v>15.5</v>
      </c>
      <c r="F49" s="154">
        <f t="shared" si="4"/>
        <v>17.396708</v>
      </c>
      <c r="G49" s="149">
        <f t="shared" si="5"/>
        <v>22</v>
      </c>
      <c r="H49" s="159">
        <f t="shared" ref="H49:H55" si="6">ROUND(E49*G49,2)</f>
        <v>341</v>
      </c>
      <c r="J49" s="154">
        <v>19.39</v>
      </c>
    </row>
    <row r="50" spans="1:11" ht="51.75" customHeight="1" x14ac:dyDescent="0.2">
      <c r="A50" s="144" t="s">
        <v>113</v>
      </c>
      <c r="B50" s="163" t="s">
        <v>111</v>
      </c>
      <c r="C50" s="165" t="s">
        <v>112</v>
      </c>
      <c r="D50" s="116" t="s">
        <v>73</v>
      </c>
      <c r="E50" s="147">
        <v>4</v>
      </c>
      <c r="F50" s="154">
        <f t="shared" si="4"/>
        <v>311.73214000000002</v>
      </c>
      <c r="G50" s="149">
        <f t="shared" si="5"/>
        <v>394.15</v>
      </c>
      <c r="H50" s="159">
        <f t="shared" si="6"/>
        <v>1576.6</v>
      </c>
      <c r="J50" s="154">
        <v>347.45</v>
      </c>
    </row>
    <row r="51" spans="1:11" ht="53.25" customHeight="1" x14ac:dyDescent="0.2">
      <c r="A51" s="144" t="s">
        <v>116</v>
      </c>
      <c r="B51" s="163" t="s">
        <v>114</v>
      </c>
      <c r="C51" s="165" t="s">
        <v>115</v>
      </c>
      <c r="D51" s="116" t="s">
        <v>73</v>
      </c>
      <c r="E51" s="147">
        <v>4</v>
      </c>
      <c r="F51" s="154">
        <f t="shared" si="4"/>
        <v>308.25100399999997</v>
      </c>
      <c r="G51" s="149">
        <f t="shared" si="5"/>
        <v>389.75</v>
      </c>
      <c r="H51" s="159">
        <f t="shared" si="6"/>
        <v>1559</v>
      </c>
      <c r="J51" s="154">
        <v>343.57</v>
      </c>
    </row>
    <row r="52" spans="1:11" ht="52.5" customHeight="1" x14ac:dyDescent="0.2">
      <c r="A52" s="144" t="s">
        <v>121</v>
      </c>
      <c r="B52" s="163" t="s">
        <v>117</v>
      </c>
      <c r="C52" s="165" t="s">
        <v>118</v>
      </c>
      <c r="D52" s="116" t="s">
        <v>24</v>
      </c>
      <c r="E52" s="147">
        <v>17.7</v>
      </c>
      <c r="F52" s="154">
        <f t="shared" si="4"/>
        <v>328.19576000000001</v>
      </c>
      <c r="G52" s="149">
        <f t="shared" si="5"/>
        <v>414.97</v>
      </c>
      <c r="H52" s="159">
        <f t="shared" si="6"/>
        <v>7344.97</v>
      </c>
      <c r="I52" s="120">
        <f>2.95*1.5*4</f>
        <v>17.700000000000003</v>
      </c>
      <c r="J52" s="154">
        <v>365.8</v>
      </c>
    </row>
    <row r="53" spans="1:11" ht="52.5" customHeight="1" x14ac:dyDescent="0.2">
      <c r="A53" s="144" t="s">
        <v>124</v>
      </c>
      <c r="B53" s="163" t="s">
        <v>119</v>
      </c>
      <c r="C53" s="165" t="s">
        <v>120</v>
      </c>
      <c r="D53" s="116" t="s">
        <v>24</v>
      </c>
      <c r="E53" s="147">
        <v>8</v>
      </c>
      <c r="F53" s="154">
        <f t="shared" si="4"/>
        <v>401.48802799999999</v>
      </c>
      <c r="G53" s="149">
        <f t="shared" si="5"/>
        <v>507.64</v>
      </c>
      <c r="H53" s="159">
        <f t="shared" si="6"/>
        <v>4061.12</v>
      </c>
      <c r="J53" s="154">
        <v>447.49</v>
      </c>
    </row>
    <row r="54" spans="1:11" ht="63.75" x14ac:dyDescent="0.2">
      <c r="A54" s="144" t="s">
        <v>209</v>
      </c>
      <c r="B54" s="163" t="s">
        <v>122</v>
      </c>
      <c r="C54" s="165" t="s">
        <v>123</v>
      </c>
      <c r="D54" s="116" t="s">
        <v>73</v>
      </c>
      <c r="E54" s="147">
        <v>4</v>
      </c>
      <c r="F54" s="154">
        <f t="shared" si="4"/>
        <v>101.903976</v>
      </c>
      <c r="G54" s="149">
        <f t="shared" si="5"/>
        <v>128.85</v>
      </c>
      <c r="H54" s="159">
        <f t="shared" si="6"/>
        <v>515.4</v>
      </c>
      <c r="J54" s="154">
        <v>113.58</v>
      </c>
    </row>
    <row r="55" spans="1:11" ht="42" customHeight="1" x14ac:dyDescent="0.2">
      <c r="A55" s="144" t="s">
        <v>210</v>
      </c>
      <c r="B55" s="163" t="s">
        <v>125</v>
      </c>
      <c r="C55" s="165" t="s">
        <v>126</v>
      </c>
      <c r="D55" s="116" t="s">
        <v>73</v>
      </c>
      <c r="E55" s="147">
        <v>12</v>
      </c>
      <c r="F55" s="154">
        <f t="shared" si="4"/>
        <v>21.550743999999998</v>
      </c>
      <c r="G55" s="149">
        <f t="shared" si="5"/>
        <v>27.25</v>
      </c>
      <c r="H55" s="159">
        <f t="shared" si="6"/>
        <v>327</v>
      </c>
      <c r="J55" s="154">
        <v>24.02</v>
      </c>
    </row>
    <row r="56" spans="1:11" x14ac:dyDescent="0.2">
      <c r="A56" s="151">
        <v>7</v>
      </c>
      <c r="B56" s="163"/>
      <c r="C56" s="164" t="s">
        <v>127</v>
      </c>
      <c r="D56" s="116" t="s">
        <v>3</v>
      </c>
      <c r="E56" s="147"/>
      <c r="F56" s="154"/>
      <c r="G56" s="149"/>
      <c r="H56" s="150">
        <f>SUM(H57:H61)</f>
        <v>58619.4</v>
      </c>
      <c r="J56" s="154"/>
    </row>
    <row r="57" spans="1:11" ht="28.5" customHeight="1" x14ac:dyDescent="0.2">
      <c r="A57" s="144" t="s">
        <v>128</v>
      </c>
      <c r="B57" s="163" t="s">
        <v>196</v>
      </c>
      <c r="C57" s="165" t="s">
        <v>199</v>
      </c>
      <c r="D57" s="116" t="s">
        <v>24</v>
      </c>
      <c r="E57" s="147">
        <v>255</v>
      </c>
      <c r="F57" s="154">
        <f t="shared" si="4"/>
        <v>17.558204</v>
      </c>
      <c r="G57" s="149">
        <f t="shared" si="5"/>
        <v>22.2</v>
      </c>
      <c r="H57" s="159">
        <f t="shared" ref="H57:H61" si="7">ROUND(E57*G57,2)</f>
        <v>5661</v>
      </c>
      <c r="J57" s="154">
        <v>19.57</v>
      </c>
      <c r="K57" s="120">
        <f>15*17</f>
        <v>255</v>
      </c>
    </row>
    <row r="58" spans="1:11" ht="24" customHeight="1" x14ac:dyDescent="0.2">
      <c r="A58" s="144" t="s">
        <v>129</v>
      </c>
      <c r="B58" s="163" t="s">
        <v>196</v>
      </c>
      <c r="C58" s="165" t="s">
        <v>198</v>
      </c>
      <c r="D58" s="116" t="s">
        <v>24</v>
      </c>
      <c r="E58" s="147">
        <v>255</v>
      </c>
      <c r="F58" s="154">
        <f t="shared" si="4"/>
        <v>30.101059999999997</v>
      </c>
      <c r="G58" s="149">
        <f t="shared" ref="G58" si="8">ROUND(F58+(F58*$H$8),2)</f>
        <v>38.06</v>
      </c>
      <c r="H58" s="159">
        <f t="shared" ref="H58" si="9">ROUND(E58*G58,2)</f>
        <v>9705.2999999999993</v>
      </c>
      <c r="I58" s="120" t="s">
        <v>192</v>
      </c>
      <c r="J58" s="154">
        <v>33.549999999999997</v>
      </c>
    </row>
    <row r="59" spans="1:11" ht="40.5" customHeight="1" x14ac:dyDescent="0.2">
      <c r="A59" s="144" t="s">
        <v>134</v>
      </c>
      <c r="B59" s="163" t="s">
        <v>130</v>
      </c>
      <c r="C59" s="165" t="s">
        <v>131</v>
      </c>
      <c r="D59" s="116" t="s">
        <v>24</v>
      </c>
      <c r="E59" s="147">
        <v>21.2</v>
      </c>
      <c r="F59" s="154">
        <f t="shared" si="4"/>
        <v>13.897628000000001</v>
      </c>
      <c r="G59" s="149">
        <f t="shared" si="5"/>
        <v>17.57</v>
      </c>
      <c r="H59" s="159">
        <f t="shared" si="7"/>
        <v>372.48</v>
      </c>
      <c r="J59" s="154">
        <v>15.49</v>
      </c>
    </row>
    <row r="60" spans="1:11" ht="43.5" customHeight="1" x14ac:dyDescent="0.2">
      <c r="A60" s="144" t="s">
        <v>137</v>
      </c>
      <c r="B60" s="163" t="s">
        <v>132</v>
      </c>
      <c r="C60" s="165" t="s">
        <v>133</v>
      </c>
      <c r="D60" s="116" t="s">
        <v>24</v>
      </c>
      <c r="E60" s="147">
        <v>2374</v>
      </c>
      <c r="F60" s="154">
        <f t="shared" si="4"/>
        <v>14.229592</v>
      </c>
      <c r="G60" s="149">
        <f t="shared" si="5"/>
        <v>17.989999999999998</v>
      </c>
      <c r="H60" s="159">
        <f t="shared" si="7"/>
        <v>42708.26</v>
      </c>
      <c r="I60" s="120">
        <f>766*3.1</f>
        <v>2374.6</v>
      </c>
      <c r="J60" s="154">
        <v>15.86</v>
      </c>
    </row>
    <row r="61" spans="1:11" ht="41.25" customHeight="1" x14ac:dyDescent="0.2">
      <c r="A61" s="144" t="s">
        <v>138</v>
      </c>
      <c r="B61" s="163" t="s">
        <v>135</v>
      </c>
      <c r="C61" s="165" t="s">
        <v>136</v>
      </c>
      <c r="D61" s="116" t="s">
        <v>24</v>
      </c>
      <c r="E61" s="147">
        <v>21.2</v>
      </c>
      <c r="F61" s="154">
        <f t="shared" si="4"/>
        <v>6.4329239999999999</v>
      </c>
      <c r="G61" s="149">
        <f t="shared" si="5"/>
        <v>8.1300000000000008</v>
      </c>
      <c r="H61" s="159">
        <f t="shared" si="7"/>
        <v>172.36</v>
      </c>
      <c r="J61" s="154">
        <v>7.17</v>
      </c>
    </row>
    <row r="62" spans="1:11" x14ac:dyDescent="0.2">
      <c r="A62" s="151">
        <v>8</v>
      </c>
      <c r="B62" s="163"/>
      <c r="C62" s="164" t="s">
        <v>139</v>
      </c>
      <c r="D62" s="116" t="s">
        <v>3</v>
      </c>
      <c r="E62" s="147"/>
      <c r="F62" s="154"/>
      <c r="G62" s="149"/>
      <c r="H62" s="150">
        <f>SUM(H63:H70)</f>
        <v>3592.8999999999992</v>
      </c>
      <c r="J62" s="154"/>
    </row>
    <row r="63" spans="1:11" ht="52.5" customHeight="1" x14ac:dyDescent="0.2">
      <c r="A63" s="144" t="s">
        <v>140</v>
      </c>
      <c r="B63" s="163" t="s">
        <v>141</v>
      </c>
      <c r="C63" s="165" t="s">
        <v>142</v>
      </c>
      <c r="D63" s="116" t="s">
        <v>143</v>
      </c>
      <c r="E63" s="147">
        <v>7</v>
      </c>
      <c r="F63" s="154">
        <f t="shared" si="4"/>
        <v>155.000272</v>
      </c>
      <c r="G63" s="149">
        <f t="shared" si="5"/>
        <v>195.98</v>
      </c>
      <c r="H63" s="159">
        <f t="shared" ref="H63:H70" si="10">ROUND(E63*G63,2)</f>
        <v>1371.86</v>
      </c>
      <c r="J63" s="154">
        <v>172.76</v>
      </c>
    </row>
    <row r="64" spans="1:11" ht="39" customHeight="1" x14ac:dyDescent="0.2">
      <c r="A64" s="144" t="s">
        <v>144</v>
      </c>
      <c r="B64" s="163" t="s">
        <v>145</v>
      </c>
      <c r="C64" s="165" t="s">
        <v>146</v>
      </c>
      <c r="D64" s="116" t="s">
        <v>19</v>
      </c>
      <c r="E64" s="147">
        <v>100</v>
      </c>
      <c r="F64" s="154">
        <f t="shared" si="4"/>
        <v>3.7233800000000001</v>
      </c>
      <c r="G64" s="149">
        <f t="shared" si="5"/>
        <v>4.71</v>
      </c>
      <c r="H64" s="159">
        <f t="shared" si="10"/>
        <v>471</v>
      </c>
      <c r="J64" s="154">
        <v>4.1500000000000004</v>
      </c>
    </row>
    <row r="65" spans="1:10" ht="38.25" customHeight="1" x14ac:dyDescent="0.2">
      <c r="A65" s="144" t="s">
        <v>147</v>
      </c>
      <c r="B65" s="163" t="s">
        <v>148</v>
      </c>
      <c r="C65" s="165" t="s">
        <v>149</v>
      </c>
      <c r="D65" s="116" t="s">
        <v>19</v>
      </c>
      <c r="E65" s="147">
        <v>100</v>
      </c>
      <c r="F65" s="154">
        <f t="shared" si="4"/>
        <v>6.8097479999999999</v>
      </c>
      <c r="G65" s="149">
        <f t="shared" si="5"/>
        <v>8.61</v>
      </c>
      <c r="H65" s="159">
        <f t="shared" si="10"/>
        <v>861</v>
      </c>
      <c r="J65" s="154">
        <v>7.59</v>
      </c>
    </row>
    <row r="66" spans="1:10" ht="48" customHeight="1" x14ac:dyDescent="0.2">
      <c r="A66" s="144" t="s">
        <v>150</v>
      </c>
      <c r="B66" s="163" t="s">
        <v>151</v>
      </c>
      <c r="C66" s="165" t="s">
        <v>152</v>
      </c>
      <c r="D66" s="116" t="s">
        <v>73</v>
      </c>
      <c r="E66" s="147">
        <v>8</v>
      </c>
      <c r="F66" s="154">
        <f t="shared" si="4"/>
        <v>24.726831999999998</v>
      </c>
      <c r="G66" s="149">
        <f t="shared" si="5"/>
        <v>31.26</v>
      </c>
      <c r="H66" s="159">
        <f t="shared" si="10"/>
        <v>250.08</v>
      </c>
      <c r="J66" s="154">
        <v>27.56</v>
      </c>
    </row>
    <row r="67" spans="1:10" ht="53.25" customHeight="1" x14ac:dyDescent="0.2">
      <c r="A67" s="144" t="s">
        <v>153</v>
      </c>
      <c r="B67" s="163" t="s">
        <v>154</v>
      </c>
      <c r="C67" s="165" t="s">
        <v>155</v>
      </c>
      <c r="D67" s="116" t="s">
        <v>73</v>
      </c>
      <c r="E67" s="147">
        <v>4</v>
      </c>
      <c r="F67" s="154">
        <f t="shared" si="4"/>
        <v>60.964739999999999</v>
      </c>
      <c r="G67" s="149">
        <f t="shared" si="5"/>
        <v>77.08</v>
      </c>
      <c r="H67" s="159">
        <f t="shared" si="10"/>
        <v>308.32</v>
      </c>
      <c r="J67" s="154">
        <v>67.95</v>
      </c>
    </row>
    <row r="68" spans="1:10" ht="39" customHeight="1" x14ac:dyDescent="0.2">
      <c r="A68" s="144" t="s">
        <v>156</v>
      </c>
      <c r="B68" s="163" t="s">
        <v>157</v>
      </c>
      <c r="C68" s="165" t="s">
        <v>158</v>
      </c>
      <c r="D68" s="116" t="s">
        <v>73</v>
      </c>
      <c r="E68" s="147">
        <v>1</v>
      </c>
      <c r="F68" s="154">
        <f t="shared" si="4"/>
        <v>156.37298799999999</v>
      </c>
      <c r="G68" s="149">
        <f t="shared" si="5"/>
        <v>197.72</v>
      </c>
      <c r="H68" s="159">
        <f t="shared" si="10"/>
        <v>197.72</v>
      </c>
      <c r="J68" s="154">
        <v>174.29</v>
      </c>
    </row>
    <row r="69" spans="1:10" ht="27.75" customHeight="1" x14ac:dyDescent="0.2">
      <c r="A69" s="144" t="s">
        <v>211</v>
      </c>
      <c r="B69" s="163" t="s">
        <v>159</v>
      </c>
      <c r="C69" s="165" t="s">
        <v>160</v>
      </c>
      <c r="D69" s="116" t="s">
        <v>73</v>
      </c>
      <c r="E69" s="147">
        <v>2</v>
      </c>
      <c r="F69" s="154">
        <f t="shared" si="4"/>
        <v>17.073716000000001</v>
      </c>
      <c r="G69" s="149">
        <f t="shared" si="5"/>
        <v>21.59</v>
      </c>
      <c r="H69" s="159">
        <f t="shared" si="10"/>
        <v>43.18</v>
      </c>
      <c r="J69" s="154">
        <v>19.03</v>
      </c>
    </row>
    <row r="70" spans="1:10" ht="28.5" customHeight="1" x14ac:dyDescent="0.2">
      <c r="A70" s="144" t="s">
        <v>212</v>
      </c>
      <c r="B70" s="163" t="s">
        <v>161</v>
      </c>
      <c r="C70" s="165" t="s">
        <v>162</v>
      </c>
      <c r="D70" s="116" t="s">
        <v>73</v>
      </c>
      <c r="E70" s="147">
        <v>2</v>
      </c>
      <c r="F70" s="154">
        <f t="shared" si="4"/>
        <v>35.484259999999999</v>
      </c>
      <c r="G70" s="149">
        <f t="shared" si="5"/>
        <v>44.87</v>
      </c>
      <c r="H70" s="159">
        <f t="shared" si="10"/>
        <v>89.74</v>
      </c>
      <c r="J70" s="154">
        <v>39.549999999999997</v>
      </c>
    </row>
    <row r="71" spans="1:10" x14ac:dyDescent="0.2">
      <c r="A71" s="151">
        <v>9</v>
      </c>
      <c r="B71" s="163"/>
      <c r="C71" s="164" t="s">
        <v>163</v>
      </c>
      <c r="D71" s="116" t="s">
        <v>3</v>
      </c>
      <c r="E71" s="147"/>
      <c r="F71" s="154"/>
      <c r="G71" s="149"/>
      <c r="H71" s="150">
        <f>SUM(H72:H77)</f>
        <v>7510.18</v>
      </c>
      <c r="J71" s="154"/>
    </row>
    <row r="72" spans="1:10" ht="51.75" customHeight="1" x14ac:dyDescent="0.2">
      <c r="A72" s="144" t="s">
        <v>164</v>
      </c>
      <c r="B72" s="163" t="s">
        <v>165</v>
      </c>
      <c r="C72" s="165" t="s">
        <v>166</v>
      </c>
      <c r="D72" s="116" t="s">
        <v>73</v>
      </c>
      <c r="E72" s="147">
        <v>3</v>
      </c>
      <c r="F72" s="154">
        <f t="shared" si="4"/>
        <v>509.44810400000006</v>
      </c>
      <c r="G72" s="149">
        <f t="shared" si="5"/>
        <v>644.15</v>
      </c>
      <c r="H72" s="159">
        <f t="shared" ref="H72:H77" si="11">ROUND(E72*G72,2)</f>
        <v>1932.45</v>
      </c>
      <c r="J72" s="154">
        <v>567.82000000000005</v>
      </c>
    </row>
    <row r="73" spans="1:10" ht="39.75" customHeight="1" x14ac:dyDescent="0.2">
      <c r="A73" s="144" t="s">
        <v>167</v>
      </c>
      <c r="B73" s="163" t="s">
        <v>170</v>
      </c>
      <c r="C73" s="165" t="s">
        <v>171</v>
      </c>
      <c r="D73" s="116" t="s">
        <v>73</v>
      </c>
      <c r="E73" s="147">
        <v>3</v>
      </c>
      <c r="F73" s="154">
        <f t="shared" si="4"/>
        <v>198.58624800000001</v>
      </c>
      <c r="G73" s="149">
        <f t="shared" si="5"/>
        <v>251.09</v>
      </c>
      <c r="H73" s="159">
        <f t="shared" si="11"/>
        <v>753.27</v>
      </c>
      <c r="J73" s="154">
        <v>221.34</v>
      </c>
    </row>
    <row r="74" spans="1:10" ht="28.5" customHeight="1" x14ac:dyDescent="0.2">
      <c r="A74" s="144" t="s">
        <v>168</v>
      </c>
      <c r="B74" s="163" t="s">
        <v>173</v>
      </c>
      <c r="C74" s="165" t="s">
        <v>174</v>
      </c>
      <c r="D74" s="116" t="s">
        <v>143</v>
      </c>
      <c r="E74" s="147">
        <v>2</v>
      </c>
      <c r="F74" s="154">
        <f t="shared" si="4"/>
        <v>620.53043600000001</v>
      </c>
      <c r="G74" s="149">
        <f t="shared" si="5"/>
        <v>784.6</v>
      </c>
      <c r="H74" s="159">
        <f t="shared" si="11"/>
        <v>1569.2</v>
      </c>
      <c r="J74" s="154">
        <v>691.63</v>
      </c>
    </row>
    <row r="75" spans="1:10" ht="30.75" customHeight="1" x14ac:dyDescent="0.2">
      <c r="A75" s="144" t="s">
        <v>169</v>
      </c>
      <c r="B75" s="163" t="s">
        <v>176</v>
      </c>
      <c r="C75" s="165" t="s">
        <v>177</v>
      </c>
      <c r="D75" s="116" t="s">
        <v>143</v>
      </c>
      <c r="E75" s="147">
        <v>2</v>
      </c>
      <c r="F75" s="154">
        <f t="shared" si="4"/>
        <v>223.39382800000001</v>
      </c>
      <c r="G75" s="149">
        <f t="shared" si="5"/>
        <v>282.45999999999998</v>
      </c>
      <c r="H75" s="159">
        <f t="shared" si="11"/>
        <v>564.91999999999996</v>
      </c>
      <c r="J75" s="154">
        <v>248.99</v>
      </c>
    </row>
    <row r="76" spans="1:10" ht="21.75" customHeight="1" x14ac:dyDescent="0.2">
      <c r="A76" s="144" t="s">
        <v>172</v>
      </c>
      <c r="B76" s="163" t="s">
        <v>178</v>
      </c>
      <c r="C76" s="165" t="s">
        <v>179</v>
      </c>
      <c r="D76" s="116" t="s">
        <v>24</v>
      </c>
      <c r="E76" s="147">
        <v>3</v>
      </c>
      <c r="F76" s="154">
        <f t="shared" si="4"/>
        <v>324.71462400000001</v>
      </c>
      <c r="G76" s="149">
        <f t="shared" si="5"/>
        <v>410.57</v>
      </c>
      <c r="H76" s="159">
        <f t="shared" si="11"/>
        <v>1231.71</v>
      </c>
      <c r="J76" s="154">
        <v>361.92</v>
      </c>
    </row>
    <row r="77" spans="1:10" ht="62.25" customHeight="1" x14ac:dyDescent="0.2">
      <c r="A77" s="144" t="s">
        <v>175</v>
      </c>
      <c r="B77" s="163" t="s">
        <v>180</v>
      </c>
      <c r="C77" s="165" t="s">
        <v>181</v>
      </c>
      <c r="D77" s="116" t="s">
        <v>73</v>
      </c>
      <c r="E77" s="147">
        <v>3</v>
      </c>
      <c r="F77" s="154">
        <f t="shared" si="4"/>
        <v>384.53992</v>
      </c>
      <c r="G77" s="149">
        <f t="shared" si="5"/>
        <v>486.21</v>
      </c>
      <c r="H77" s="159">
        <f t="shared" si="11"/>
        <v>1458.63</v>
      </c>
      <c r="J77" s="154">
        <v>428.6</v>
      </c>
    </row>
    <row r="78" spans="1:10" x14ac:dyDescent="0.2">
      <c r="A78" s="151">
        <v>10</v>
      </c>
      <c r="B78" s="163"/>
      <c r="C78" s="164" t="s">
        <v>183</v>
      </c>
      <c r="D78" s="116" t="s">
        <v>3</v>
      </c>
      <c r="E78" s="147"/>
      <c r="F78" s="154"/>
      <c r="G78" s="149"/>
      <c r="H78" s="150">
        <f>SUM(H79:H79)</f>
        <v>4467.6000000000004</v>
      </c>
      <c r="J78" s="154"/>
    </row>
    <row r="79" spans="1:10" x14ac:dyDescent="0.2">
      <c r="A79" s="144" t="s">
        <v>182</v>
      </c>
      <c r="B79" s="163" t="s">
        <v>184</v>
      </c>
      <c r="C79" s="165" t="s">
        <v>185</v>
      </c>
      <c r="D79" s="116" t="s">
        <v>24</v>
      </c>
      <c r="E79" s="147">
        <v>510</v>
      </c>
      <c r="F79" s="154">
        <f t="shared" si="4"/>
        <v>6.9263839999999997</v>
      </c>
      <c r="G79" s="149">
        <f t="shared" si="5"/>
        <v>8.76</v>
      </c>
      <c r="H79" s="159">
        <f>ROUND(E79*G79,2)</f>
        <v>4467.6000000000004</v>
      </c>
      <c r="J79" s="154">
        <v>7.72</v>
      </c>
    </row>
    <row r="83" spans="3:8" x14ac:dyDescent="0.2">
      <c r="C83" s="174"/>
      <c r="D83" s="247"/>
      <c r="E83" s="247"/>
      <c r="F83" s="247"/>
      <c r="G83" s="247"/>
      <c r="H83" s="247"/>
    </row>
    <row r="84" spans="3:8" x14ac:dyDescent="0.2">
      <c r="C84" s="174"/>
      <c r="D84" s="247"/>
      <c r="E84" s="247"/>
      <c r="F84" s="247"/>
      <c r="G84" s="247"/>
      <c r="H84" s="247"/>
    </row>
    <row r="85" spans="3:8" x14ac:dyDescent="0.2">
      <c r="C85" s="175" t="s">
        <v>313</v>
      </c>
    </row>
    <row r="86" spans="3:8" x14ac:dyDescent="0.2">
      <c r="C86" s="176" t="s">
        <v>314</v>
      </c>
    </row>
  </sheetData>
  <mergeCells count="9">
    <mergeCell ref="D83:H83"/>
    <mergeCell ref="D84:H84"/>
    <mergeCell ref="O18:P18"/>
    <mergeCell ref="A2:H2"/>
    <mergeCell ref="A3:H3"/>
    <mergeCell ref="A4:H4"/>
    <mergeCell ref="A5:H5"/>
    <mergeCell ref="A6:H6"/>
    <mergeCell ref="B7:C7"/>
  </mergeCells>
  <printOptions horizontalCentered="1"/>
  <pageMargins left="0.19685039370078741" right="0.19685039370078741" top="0.39370078740157483" bottom="0.39370078740157483" header="0" footer="0.31496062992125984"/>
  <pageSetup paperSize="9" scale="90" fitToHeight="3" orientation="landscape" r:id="rId1"/>
  <headerFooter>
    <oddFooter>&amp;CAv. Irmã Tosta - Maria José Tosta, 61 - Esplanada - Pouso Alegre/MG    l    CNPJ  23.896.707 / 0001-23   l     Tel : (35) 99908.9053</oddFooter>
  </headerFooter>
  <ignoredErrors>
    <ignoredError sqref="H78 H71 H62 H56 H48 H42 H27 H20"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opLeftCell="A22" workbookViewId="0">
      <selection activeCell="B6" sqref="B6"/>
    </sheetView>
  </sheetViews>
  <sheetFormatPr defaultRowHeight="12.75" x14ac:dyDescent="0.2"/>
  <cols>
    <col min="1" max="1" width="9.28515625" style="120" bestFit="1" customWidth="1"/>
    <col min="2" max="2" width="8.140625" style="120" customWidth="1"/>
    <col min="3" max="3" width="50.28515625" style="120" customWidth="1"/>
    <col min="4" max="4" width="7.85546875" style="120" customWidth="1"/>
    <col min="5" max="5" width="8.140625" style="120" customWidth="1"/>
    <col min="6" max="6" width="9.28515625" style="120" bestFit="1" customWidth="1"/>
    <col min="7" max="8" width="10" style="120" bestFit="1" customWidth="1"/>
    <col min="9" max="16384" width="9.140625" style="120"/>
  </cols>
  <sheetData>
    <row r="1" spans="1:9" ht="62.25" customHeight="1" x14ac:dyDescent="0.2">
      <c r="A1" s="117"/>
      <c r="B1" s="118"/>
      <c r="C1" s="118"/>
      <c r="D1" s="118"/>
      <c r="E1" s="118"/>
      <c r="F1" s="118"/>
      <c r="G1" s="118"/>
      <c r="H1" s="118"/>
      <c r="I1" s="119"/>
    </row>
    <row r="2" spans="1:9" ht="37.5" customHeight="1" x14ac:dyDescent="0.2">
      <c r="A2" s="248" t="s">
        <v>323</v>
      </c>
      <c r="B2" s="249"/>
      <c r="C2" s="249"/>
      <c r="D2" s="249"/>
      <c r="E2" s="249"/>
      <c r="F2" s="249"/>
      <c r="G2" s="249"/>
      <c r="H2" s="249"/>
    </row>
    <row r="3" spans="1:9" x14ac:dyDescent="0.2">
      <c r="A3" s="251" t="s">
        <v>363</v>
      </c>
      <c r="B3" s="251"/>
      <c r="C3" s="251"/>
      <c r="D3" s="251"/>
      <c r="E3" s="251"/>
      <c r="F3" s="251"/>
      <c r="G3" s="251"/>
      <c r="H3" s="251"/>
    </row>
    <row r="4" spans="1:9" x14ac:dyDescent="0.2">
      <c r="A4" s="244" t="s">
        <v>348</v>
      </c>
      <c r="B4" s="244"/>
      <c r="C4" s="244"/>
      <c r="D4" s="244"/>
      <c r="E4" s="244"/>
      <c r="F4" s="244"/>
      <c r="G4" s="244"/>
      <c r="H4" s="244"/>
    </row>
    <row r="5" spans="1:9" x14ac:dyDescent="0.2">
      <c r="A5" s="121" t="s">
        <v>2</v>
      </c>
      <c r="B5" s="246">
        <v>46097</v>
      </c>
      <c r="C5" s="246"/>
      <c r="D5" s="128"/>
      <c r="E5" s="129"/>
      <c r="F5" s="124"/>
      <c r="G5" s="130" t="s">
        <v>4</v>
      </c>
      <c r="H5" s="131">
        <v>0.26440000000000002</v>
      </c>
    </row>
    <row r="6" spans="1:9" ht="38.25" customHeight="1" x14ac:dyDescent="0.2">
      <c r="A6" s="132" t="s">
        <v>5</v>
      </c>
      <c r="B6" s="133" t="s">
        <v>6</v>
      </c>
      <c r="C6" s="134" t="s">
        <v>7</v>
      </c>
      <c r="D6" s="135" t="s">
        <v>8</v>
      </c>
      <c r="E6" s="136" t="s">
        <v>9</v>
      </c>
      <c r="F6" s="134" t="s">
        <v>10</v>
      </c>
      <c r="G6" s="134" t="s">
        <v>11</v>
      </c>
      <c r="H6" s="134" t="s">
        <v>12</v>
      </c>
    </row>
    <row r="7" spans="1:9" ht="25.5" x14ac:dyDescent="0.2">
      <c r="A7" s="192" t="s">
        <v>340</v>
      </c>
      <c r="B7" s="193"/>
      <c r="C7" s="153" t="s">
        <v>338</v>
      </c>
      <c r="D7" s="194" t="s">
        <v>3</v>
      </c>
      <c r="E7" s="195"/>
      <c r="F7" s="196"/>
      <c r="G7" s="195"/>
      <c r="H7" s="197">
        <f>SUM(H8:H21)</f>
        <v>9214.0549999999985</v>
      </c>
    </row>
    <row r="8" spans="1:9" ht="51" x14ac:dyDescent="0.2">
      <c r="A8" s="155" t="s">
        <v>341</v>
      </c>
      <c r="B8" s="177" t="s">
        <v>332</v>
      </c>
      <c r="C8" s="178" t="s">
        <v>331</v>
      </c>
      <c r="D8" s="184" t="s">
        <v>24</v>
      </c>
      <c r="E8" s="208">
        <v>133.5</v>
      </c>
      <c r="F8" s="209">
        <v>10.27</v>
      </c>
      <c r="G8" s="149">
        <f t="shared" ref="G8:G21" si="0">ROUND(F8+(F8*$H$5),2)</f>
        <v>12.99</v>
      </c>
      <c r="H8" s="159">
        <f>E8*G8</f>
        <v>1734.165</v>
      </c>
    </row>
    <row r="9" spans="1:9" ht="51" x14ac:dyDescent="0.2">
      <c r="A9" s="155" t="s">
        <v>342</v>
      </c>
      <c r="B9" s="177">
        <v>104756</v>
      </c>
      <c r="C9" s="178" t="s">
        <v>356</v>
      </c>
      <c r="D9" s="184" t="s">
        <v>24</v>
      </c>
      <c r="E9" s="208">
        <v>2</v>
      </c>
      <c r="F9" s="209">
        <v>248.99</v>
      </c>
      <c r="G9" s="149">
        <f t="shared" ref="G9:G15" si="1">ROUND(F9+(F9*$H$5),2)</f>
        <v>314.82</v>
      </c>
      <c r="H9" s="159">
        <f>E9*G9</f>
        <v>629.64</v>
      </c>
    </row>
    <row r="10" spans="1:9" ht="38.25" x14ac:dyDescent="0.2">
      <c r="A10" s="155" t="s">
        <v>343</v>
      </c>
      <c r="B10" s="177">
        <v>89987</v>
      </c>
      <c r="C10" s="178" t="s">
        <v>357</v>
      </c>
      <c r="D10" s="184" t="s">
        <v>351</v>
      </c>
      <c r="E10" s="208">
        <v>5</v>
      </c>
      <c r="F10" s="209">
        <v>151.82</v>
      </c>
      <c r="G10" s="149">
        <f t="shared" si="1"/>
        <v>191.96</v>
      </c>
      <c r="H10" s="159">
        <f>E10*G10</f>
        <v>959.80000000000007</v>
      </c>
    </row>
    <row r="11" spans="1:9" ht="51" x14ac:dyDescent="0.2">
      <c r="A11" s="155" t="s">
        <v>344</v>
      </c>
      <c r="B11" s="177">
        <v>94656</v>
      </c>
      <c r="C11" s="178" t="s">
        <v>352</v>
      </c>
      <c r="D11" s="116" t="s">
        <v>73</v>
      </c>
      <c r="E11" s="149">
        <v>10</v>
      </c>
      <c r="F11" s="154">
        <v>3.89</v>
      </c>
      <c r="G11" s="149">
        <f t="shared" si="1"/>
        <v>4.92</v>
      </c>
      <c r="H11" s="159">
        <f t="shared" ref="H11" si="2">ROUND(E11*G11,2)</f>
        <v>49.2</v>
      </c>
    </row>
    <row r="12" spans="1:9" ht="38.25" x14ac:dyDescent="0.2">
      <c r="A12" s="155" t="s">
        <v>345</v>
      </c>
      <c r="B12" s="177" t="s">
        <v>354</v>
      </c>
      <c r="C12" s="178" t="s">
        <v>353</v>
      </c>
      <c r="D12" s="116" t="s">
        <v>19</v>
      </c>
      <c r="E12" s="149">
        <v>24</v>
      </c>
      <c r="F12" s="154">
        <v>37.35</v>
      </c>
      <c r="G12" s="149">
        <f t="shared" si="1"/>
        <v>47.23</v>
      </c>
      <c r="H12" s="159">
        <f t="shared" ref="H12" si="3">ROUND(E12*G12,2)</f>
        <v>1133.52</v>
      </c>
    </row>
    <row r="13" spans="1:9" ht="76.5" x14ac:dyDescent="0.2">
      <c r="A13" s="155" t="s">
        <v>346</v>
      </c>
      <c r="B13" s="177" t="s">
        <v>358</v>
      </c>
      <c r="C13" s="178" t="s">
        <v>359</v>
      </c>
      <c r="D13" s="116" t="s">
        <v>26</v>
      </c>
      <c r="E13" s="149">
        <f>1.1*1.9</f>
        <v>2.09</v>
      </c>
      <c r="F13" s="154">
        <v>11.13</v>
      </c>
      <c r="G13" s="149">
        <f t="shared" si="1"/>
        <v>14.07</v>
      </c>
      <c r="H13" s="159">
        <f>ROUND(E13*G13,2)</f>
        <v>29.41</v>
      </c>
    </row>
    <row r="14" spans="1:9" ht="38.25" x14ac:dyDescent="0.2">
      <c r="A14" s="155" t="s">
        <v>360</v>
      </c>
      <c r="B14" s="177">
        <v>90443</v>
      </c>
      <c r="C14" s="178" t="s">
        <v>333</v>
      </c>
      <c r="D14" s="184" t="s">
        <v>19</v>
      </c>
      <c r="E14" s="209"/>
      <c r="F14" s="209">
        <v>9.31</v>
      </c>
      <c r="G14" s="149">
        <f t="shared" si="1"/>
        <v>11.77</v>
      </c>
      <c r="H14" s="159">
        <f>E14*G14</f>
        <v>0</v>
      </c>
    </row>
    <row r="15" spans="1:9" ht="39" customHeight="1" x14ac:dyDescent="0.2">
      <c r="A15" s="155" t="s">
        <v>361</v>
      </c>
      <c r="B15" s="177">
        <v>90466</v>
      </c>
      <c r="C15" s="178" t="s">
        <v>335</v>
      </c>
      <c r="D15" s="184" t="s">
        <v>19</v>
      </c>
      <c r="E15" s="209"/>
      <c r="F15" s="209">
        <v>18.190000000000001</v>
      </c>
      <c r="G15" s="149">
        <f t="shared" si="1"/>
        <v>23</v>
      </c>
      <c r="H15" s="159">
        <f>E15*G15</f>
        <v>0</v>
      </c>
    </row>
    <row r="16" spans="1:9" ht="25.5" x14ac:dyDescent="0.2">
      <c r="A16" s="177"/>
      <c r="B16" s="177"/>
      <c r="C16" s="153" t="s">
        <v>355</v>
      </c>
      <c r="D16" s="184"/>
      <c r="E16" s="209"/>
      <c r="F16" s="209"/>
      <c r="G16" s="149"/>
      <c r="H16" s="159"/>
    </row>
    <row r="17" spans="1:8" ht="63.75" x14ac:dyDescent="0.2">
      <c r="A17" s="204" t="s">
        <v>27</v>
      </c>
      <c r="B17" s="163" t="s">
        <v>37</v>
      </c>
      <c r="C17" s="165" t="s">
        <v>38</v>
      </c>
      <c r="D17" s="116" t="s">
        <v>24</v>
      </c>
      <c r="E17" s="149">
        <v>15.6</v>
      </c>
      <c r="F17" s="154">
        <v>33.15</v>
      </c>
      <c r="G17" s="149">
        <f>ROUND(F17+(F17*$H$5),2)</f>
        <v>41.91</v>
      </c>
      <c r="H17" s="159">
        <f>ROUND(E17*G17,2)</f>
        <v>653.79999999999995</v>
      </c>
    </row>
    <row r="18" spans="1:8" ht="114.75" x14ac:dyDescent="0.2">
      <c r="A18" s="155" t="s">
        <v>64</v>
      </c>
      <c r="B18" s="169" t="s">
        <v>61</v>
      </c>
      <c r="C18" s="165" t="s">
        <v>62</v>
      </c>
      <c r="D18" s="116" t="s">
        <v>63</v>
      </c>
      <c r="E18" s="149">
        <v>5</v>
      </c>
      <c r="F18" s="154">
        <v>149.42866000000001</v>
      </c>
      <c r="G18" s="149">
        <f>ROUND(F18+(F18*$H$5),2)</f>
        <v>188.94</v>
      </c>
      <c r="H18" s="159">
        <f>ROUND(E18*G18,2)</f>
        <v>944.7</v>
      </c>
    </row>
    <row r="19" spans="1:8" ht="63.75" x14ac:dyDescent="0.2">
      <c r="A19" s="155" t="s">
        <v>67</v>
      </c>
      <c r="B19" s="163" t="s">
        <v>65</v>
      </c>
      <c r="C19" s="165" t="s">
        <v>66</v>
      </c>
      <c r="D19" s="116" t="s">
        <v>63</v>
      </c>
      <c r="E19" s="149">
        <v>3</v>
      </c>
      <c r="F19" s="154">
        <v>274.49833999999998</v>
      </c>
      <c r="G19" s="149">
        <f>ROUND(F19+(F19*$H$5),2)</f>
        <v>347.08</v>
      </c>
      <c r="H19" s="159">
        <f t="shared" ref="H19" si="4">ROUND(E19*G19,2)</f>
        <v>1041.24</v>
      </c>
    </row>
    <row r="20" spans="1:8" ht="63.75" x14ac:dyDescent="0.2">
      <c r="A20" s="155" t="s">
        <v>76</v>
      </c>
      <c r="B20" s="169" t="s">
        <v>75</v>
      </c>
      <c r="C20" s="165" t="s">
        <v>195</v>
      </c>
      <c r="D20" s="116" t="s">
        <v>73</v>
      </c>
      <c r="E20" s="149">
        <v>10</v>
      </c>
      <c r="F20" s="154">
        <v>123.63416000000001</v>
      </c>
      <c r="G20" s="149">
        <f t="shared" si="0"/>
        <v>156.32</v>
      </c>
      <c r="H20" s="159">
        <f t="shared" ref="H20" si="5">ROUND(E20*G20,2)</f>
        <v>1563.2</v>
      </c>
    </row>
    <row r="21" spans="1:8" ht="38.25" x14ac:dyDescent="0.2">
      <c r="A21" s="155" t="s">
        <v>208</v>
      </c>
      <c r="B21" s="163" t="s">
        <v>91</v>
      </c>
      <c r="C21" s="165" t="s">
        <v>92</v>
      </c>
      <c r="D21" s="116" t="s">
        <v>19</v>
      </c>
      <c r="E21" s="149">
        <v>18</v>
      </c>
      <c r="F21" s="154">
        <v>20.89</v>
      </c>
      <c r="G21" s="149">
        <f t="shared" si="0"/>
        <v>26.41</v>
      </c>
      <c r="H21" s="159">
        <f t="shared" ref="H21" si="6">ROUND(E21*G21,2)</f>
        <v>475.38</v>
      </c>
    </row>
    <row r="22" spans="1:8" x14ac:dyDescent="0.2">
      <c r="A22" s="204"/>
      <c r="B22" s="210"/>
      <c r="C22" s="211"/>
      <c r="D22" s="205"/>
      <c r="E22" s="206"/>
      <c r="F22" s="207"/>
      <c r="G22" s="206"/>
      <c r="H22" s="185"/>
    </row>
    <row r="23" spans="1:8" x14ac:dyDescent="0.2">
      <c r="A23" s="204"/>
      <c r="B23" s="210"/>
      <c r="C23" s="211"/>
      <c r="D23" s="205"/>
      <c r="E23" s="206"/>
      <c r="F23" s="207"/>
      <c r="G23" s="206"/>
      <c r="H23" s="185"/>
    </row>
    <row r="24" spans="1:8" x14ac:dyDescent="0.2">
      <c r="A24" s="204"/>
      <c r="B24" s="210"/>
      <c r="C24" s="211"/>
      <c r="D24" s="205"/>
      <c r="E24" s="206"/>
      <c r="F24" s="207"/>
      <c r="G24" s="206"/>
      <c r="H24" s="185"/>
    </row>
    <row r="25" spans="1:8" x14ac:dyDescent="0.2">
      <c r="C25" s="186"/>
      <c r="G25" s="187"/>
      <c r="H25" s="188"/>
    </row>
    <row r="27" spans="1:8" x14ac:dyDescent="0.2">
      <c r="A27" s="198"/>
      <c r="B27" s="199"/>
      <c r="C27" s="200" t="s">
        <v>339</v>
      </c>
      <c r="D27" s="199"/>
      <c r="E27" s="199"/>
      <c r="F27" s="199"/>
      <c r="G27" s="199"/>
      <c r="H27" s="201">
        <f>SUM(H28:H33)</f>
        <v>9215.08</v>
      </c>
    </row>
    <row r="28" spans="1:8" ht="51" x14ac:dyDescent="0.2">
      <c r="A28" s="120" t="s">
        <v>22</v>
      </c>
      <c r="B28" s="163" t="s">
        <v>33</v>
      </c>
      <c r="C28" s="165" t="s">
        <v>34</v>
      </c>
      <c r="D28" s="116" t="s">
        <v>24</v>
      </c>
      <c r="E28" s="149">
        <v>64.56</v>
      </c>
      <c r="F28" s="154">
        <v>58.811459999999997</v>
      </c>
      <c r="G28" s="149">
        <f>ROUND(F28+(F28*$H$5),2)</f>
        <v>74.36</v>
      </c>
      <c r="H28" s="159">
        <f>ROUND(E28*G28,2)</f>
        <v>4800.68</v>
      </c>
    </row>
    <row r="29" spans="1:8" ht="63.75" x14ac:dyDescent="0.2">
      <c r="A29" s="120" t="s">
        <v>23</v>
      </c>
      <c r="B29" s="163" t="s">
        <v>35</v>
      </c>
      <c r="C29" s="165" t="s">
        <v>36</v>
      </c>
      <c r="D29" s="116" t="s">
        <v>19</v>
      </c>
      <c r="E29" s="149">
        <v>70.150000000000006</v>
      </c>
      <c r="F29" s="154">
        <v>19.280828</v>
      </c>
      <c r="G29" s="149">
        <f>ROUND(F29+(F29*$H$5),2)</f>
        <v>24.38</v>
      </c>
      <c r="H29" s="159">
        <f t="shared" ref="H29" si="7">ROUND(E29*G29,2)</f>
        <v>1710.26</v>
      </c>
    </row>
    <row r="30" spans="1:8" ht="25.5" hidden="1" x14ac:dyDescent="0.2">
      <c r="A30" s="120" t="s">
        <v>202</v>
      </c>
      <c r="B30" s="163" t="s">
        <v>79</v>
      </c>
      <c r="C30" s="165" t="s">
        <v>80</v>
      </c>
      <c r="D30" s="116" t="s">
        <v>73</v>
      </c>
      <c r="E30" s="149"/>
      <c r="F30" s="154">
        <v>18.177272000000002</v>
      </c>
      <c r="G30" s="149">
        <f t="shared" ref="G30:G32" si="8">ROUND(F30+(F30*$H$5),2)</f>
        <v>22.98</v>
      </c>
      <c r="H30" s="159">
        <f t="shared" ref="H30:H32" si="9">ROUND(E30*G30,2)</f>
        <v>0</v>
      </c>
    </row>
    <row r="31" spans="1:8" ht="25.5" hidden="1" x14ac:dyDescent="0.2">
      <c r="A31" s="120" t="s">
        <v>203</v>
      </c>
      <c r="B31" s="163" t="s">
        <v>81</v>
      </c>
      <c r="C31" s="165" t="s">
        <v>82</v>
      </c>
      <c r="D31" s="116" t="s">
        <v>73</v>
      </c>
      <c r="E31" s="149"/>
      <c r="F31" s="154">
        <v>51.983767999999998</v>
      </c>
      <c r="G31" s="149">
        <f t="shared" si="8"/>
        <v>65.73</v>
      </c>
      <c r="H31" s="159">
        <f t="shared" si="9"/>
        <v>0</v>
      </c>
    </row>
    <row r="32" spans="1:8" ht="38.25" hidden="1" x14ac:dyDescent="0.2">
      <c r="A32" s="120" t="s">
        <v>204</v>
      </c>
      <c r="B32" s="163" t="s">
        <v>83</v>
      </c>
      <c r="C32" s="165" t="s">
        <v>84</v>
      </c>
      <c r="D32" s="116" t="s">
        <v>73</v>
      </c>
      <c r="E32" s="149"/>
      <c r="F32" s="154">
        <v>92.285991999999993</v>
      </c>
      <c r="G32" s="149">
        <f t="shared" si="8"/>
        <v>116.69</v>
      </c>
      <c r="H32" s="159">
        <f t="shared" si="9"/>
        <v>0</v>
      </c>
    </row>
    <row r="33" spans="1:8" ht="38.25" x14ac:dyDescent="0.2">
      <c r="A33" s="120" t="s">
        <v>206</v>
      </c>
      <c r="B33" s="163" t="s">
        <v>87</v>
      </c>
      <c r="C33" s="165" t="s">
        <v>88</v>
      </c>
      <c r="D33" s="116" t="s">
        <v>19</v>
      </c>
      <c r="E33" s="149">
        <v>18</v>
      </c>
      <c r="F33" s="154">
        <v>118.81619600000001</v>
      </c>
      <c r="G33" s="149">
        <f>ROUND(F33+(F33*$H$5),2)</f>
        <v>150.22999999999999</v>
      </c>
      <c r="H33" s="159">
        <f>ROUND(E33*G33,2)</f>
        <v>2704.14</v>
      </c>
    </row>
  </sheetData>
  <mergeCells count="4">
    <mergeCell ref="A2:H2"/>
    <mergeCell ref="A3:H3"/>
    <mergeCell ref="A4:H4"/>
    <mergeCell ref="B5:C5"/>
  </mergeCells>
  <pageMargins left="0.11811023622047245" right="0.11811023622047245" top="0.59055118110236227" bottom="0.39370078740157483" header="0.31496062992125984" footer="0.31496062992125984"/>
  <pageSetup paperSize="9" scale="90"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E10" sqref="E10"/>
    </sheetView>
  </sheetViews>
  <sheetFormatPr defaultRowHeight="12.75" x14ac:dyDescent="0.2"/>
  <cols>
    <col min="1" max="1" width="9.28515625" style="120" bestFit="1" customWidth="1"/>
    <col min="2" max="2" width="8.140625" style="120" customWidth="1"/>
    <col min="3" max="3" width="50.28515625" style="120" customWidth="1"/>
    <col min="4" max="4" width="7.85546875" style="120" customWidth="1"/>
    <col min="5" max="5" width="8.140625" style="120" customWidth="1"/>
    <col min="6" max="7" width="9.28515625" style="120" bestFit="1" customWidth="1"/>
    <col min="8" max="8" width="9.5703125" style="120" bestFit="1" customWidth="1"/>
    <col min="9" max="16384" width="9.140625" style="120"/>
  </cols>
  <sheetData>
    <row r="1" spans="1:9" ht="62.25" customHeight="1" x14ac:dyDescent="0.2">
      <c r="A1" s="117"/>
      <c r="B1" s="118"/>
      <c r="C1" s="118"/>
      <c r="D1" s="118"/>
      <c r="E1" s="118"/>
      <c r="F1" s="118"/>
      <c r="G1" s="118"/>
      <c r="H1" s="118"/>
      <c r="I1" s="119"/>
    </row>
    <row r="2" spans="1:9" ht="37.5" customHeight="1" x14ac:dyDescent="0.2">
      <c r="A2" s="248" t="s">
        <v>323</v>
      </c>
      <c r="B2" s="249"/>
      <c r="C2" s="249"/>
      <c r="D2" s="249"/>
      <c r="E2" s="249"/>
      <c r="F2" s="249"/>
      <c r="G2" s="249"/>
      <c r="H2" s="249"/>
    </row>
    <row r="3" spans="1:9" x14ac:dyDescent="0.2">
      <c r="A3" s="251" t="s">
        <v>337</v>
      </c>
      <c r="B3" s="251"/>
      <c r="C3" s="251"/>
      <c r="D3" s="251"/>
      <c r="E3" s="251"/>
      <c r="F3" s="251"/>
      <c r="G3" s="251"/>
      <c r="H3" s="251"/>
    </row>
    <row r="4" spans="1:9" x14ac:dyDescent="0.2">
      <c r="A4" s="244" t="s">
        <v>348</v>
      </c>
      <c r="B4" s="244"/>
      <c r="C4" s="244"/>
      <c r="D4" s="244"/>
      <c r="E4" s="244"/>
      <c r="F4" s="244"/>
      <c r="G4" s="244"/>
      <c r="H4" s="244"/>
    </row>
    <row r="5" spans="1:9" x14ac:dyDescent="0.2">
      <c r="A5" s="121" t="s">
        <v>2</v>
      </c>
      <c r="B5" s="246">
        <v>46069</v>
      </c>
      <c r="C5" s="246"/>
      <c r="D5" s="128"/>
      <c r="E5" s="129"/>
      <c r="F5" s="124"/>
      <c r="G5" s="130" t="s">
        <v>4</v>
      </c>
      <c r="H5" s="131">
        <v>0.26440000000000002</v>
      </c>
    </row>
    <row r="6" spans="1:9" ht="38.25" customHeight="1" x14ac:dyDescent="0.2">
      <c r="A6" s="132" t="s">
        <v>5</v>
      </c>
      <c r="B6" s="133" t="s">
        <v>6</v>
      </c>
      <c r="C6" s="134" t="s">
        <v>7</v>
      </c>
      <c r="D6" s="135" t="s">
        <v>8</v>
      </c>
      <c r="E6" s="136" t="s">
        <v>9</v>
      </c>
      <c r="F6" s="134" t="s">
        <v>10</v>
      </c>
      <c r="G6" s="134" t="s">
        <v>11</v>
      </c>
      <c r="H6" s="134" t="s">
        <v>12</v>
      </c>
    </row>
    <row r="7" spans="1:9" ht="25.5" x14ac:dyDescent="0.2">
      <c r="A7" s="192" t="s">
        <v>340</v>
      </c>
      <c r="B7" s="193"/>
      <c r="C7" s="153" t="s">
        <v>338</v>
      </c>
      <c r="D7" s="194" t="s">
        <v>3</v>
      </c>
      <c r="E7" s="195"/>
      <c r="F7" s="196"/>
      <c r="G7" s="195"/>
      <c r="H7" s="197">
        <f>SUM(H8:H14)</f>
        <v>5550.0037000000002</v>
      </c>
    </row>
    <row r="8" spans="1:9" ht="25.5" x14ac:dyDescent="0.2">
      <c r="A8" s="155" t="s">
        <v>341</v>
      </c>
      <c r="B8" s="177" t="s">
        <v>326</v>
      </c>
      <c r="C8" s="178" t="s">
        <v>325</v>
      </c>
      <c r="D8" s="184" t="s">
        <v>327</v>
      </c>
      <c r="E8" s="179">
        <v>20</v>
      </c>
      <c r="F8" s="180">
        <v>45.32</v>
      </c>
      <c r="G8" s="181">
        <f>ROUND(F8+(F8*$H$5),2)</f>
        <v>57.3</v>
      </c>
      <c r="H8" s="182">
        <f>E8*G8</f>
        <v>1146</v>
      </c>
      <c r="I8" s="185"/>
    </row>
    <row r="9" spans="1:9" ht="29.25" customHeight="1" x14ac:dyDescent="0.2">
      <c r="A9" s="155" t="s">
        <v>342</v>
      </c>
      <c r="B9" s="177" t="s">
        <v>329</v>
      </c>
      <c r="C9" s="178" t="s">
        <v>328</v>
      </c>
      <c r="D9" s="184" t="s">
        <v>330</v>
      </c>
      <c r="E9" s="179">
        <v>5</v>
      </c>
      <c r="F9" s="183">
        <v>400</v>
      </c>
      <c r="G9" s="181">
        <f>ROUND(F9+(F9*$H$5),2)</f>
        <v>505.76</v>
      </c>
      <c r="H9" s="182">
        <f>E9*G9</f>
        <v>2528.8000000000002</v>
      </c>
    </row>
    <row r="10" spans="1:9" ht="51" x14ac:dyDescent="0.2">
      <c r="A10" s="155" t="s">
        <v>343</v>
      </c>
      <c r="B10" s="177" t="s">
        <v>332</v>
      </c>
      <c r="C10" s="178" t="s">
        <v>331</v>
      </c>
      <c r="D10" s="184" t="s">
        <v>24</v>
      </c>
      <c r="E10" s="177">
        <v>112.47</v>
      </c>
      <c r="F10" s="177">
        <v>10.27</v>
      </c>
      <c r="G10" s="181">
        <f>ROUND(F10+(F10*$H$5),2)</f>
        <v>12.99</v>
      </c>
      <c r="H10" s="182">
        <f>E10*G10</f>
        <v>1460.9853000000001</v>
      </c>
    </row>
    <row r="11" spans="1:9" x14ac:dyDescent="0.2">
      <c r="A11" s="177"/>
      <c r="B11" s="177"/>
      <c r="C11" s="189" t="s">
        <v>334</v>
      </c>
      <c r="D11" s="184"/>
      <c r="E11" s="177"/>
      <c r="F11" s="177"/>
      <c r="G11" s="181"/>
      <c r="H11" s="182"/>
    </row>
    <row r="12" spans="1:9" ht="38.25" x14ac:dyDescent="0.2">
      <c r="A12" s="155" t="s">
        <v>344</v>
      </c>
      <c r="B12" s="177">
        <v>90443</v>
      </c>
      <c r="C12" s="178" t="s">
        <v>333</v>
      </c>
      <c r="D12" s="184" t="s">
        <v>19</v>
      </c>
      <c r="E12" s="177">
        <f>10*0.5*2</f>
        <v>10</v>
      </c>
      <c r="F12" s="177">
        <v>9.31</v>
      </c>
      <c r="G12" s="181">
        <f>ROUND(F12+(F12*$H$5),2)</f>
        <v>11.77</v>
      </c>
      <c r="H12" s="182">
        <f>E12*G12</f>
        <v>117.69999999999999</v>
      </c>
    </row>
    <row r="13" spans="1:9" ht="39" customHeight="1" x14ac:dyDescent="0.2">
      <c r="A13" s="155" t="s">
        <v>345</v>
      </c>
      <c r="B13" s="177">
        <v>90466</v>
      </c>
      <c r="C13" s="178" t="s">
        <v>335</v>
      </c>
      <c r="D13" s="184" t="s">
        <v>19</v>
      </c>
      <c r="E13" s="177">
        <f>10*0.5*2</f>
        <v>10</v>
      </c>
      <c r="F13" s="177">
        <v>18.190000000000001</v>
      </c>
      <c r="G13" s="181">
        <f>ROUND(F13+(F13*$H$5),2)</f>
        <v>23</v>
      </c>
      <c r="H13" s="182">
        <f>E13*G13</f>
        <v>230</v>
      </c>
    </row>
    <row r="14" spans="1:9" ht="25.5" x14ac:dyDescent="0.2">
      <c r="A14" s="155" t="s">
        <v>346</v>
      </c>
      <c r="B14" s="177">
        <v>92803</v>
      </c>
      <c r="C14" s="178" t="s">
        <v>336</v>
      </c>
      <c r="D14" s="184" t="s">
        <v>25</v>
      </c>
      <c r="E14" s="177">
        <f>10*1*0.624</f>
        <v>6.24</v>
      </c>
      <c r="F14" s="177">
        <v>8.43</v>
      </c>
      <c r="G14" s="181">
        <f>ROUND(F14+(F14*$H$5),2)</f>
        <v>10.66</v>
      </c>
      <c r="H14" s="182">
        <f>E14*G14</f>
        <v>66.5184</v>
      </c>
    </row>
    <row r="15" spans="1:9" x14ac:dyDescent="0.2">
      <c r="C15" s="186"/>
      <c r="G15" s="187"/>
      <c r="H15" s="188"/>
    </row>
    <row r="17" spans="1:8" x14ac:dyDescent="0.2">
      <c r="A17" s="198"/>
      <c r="B17" s="199"/>
      <c r="C17" s="200" t="s">
        <v>339</v>
      </c>
      <c r="D17" s="199"/>
      <c r="E17" s="199"/>
      <c r="F17" s="199"/>
      <c r="G17" s="199"/>
      <c r="H17" s="201">
        <f>SUM(H18:H19)</f>
        <v>5553.34</v>
      </c>
    </row>
    <row r="18" spans="1:8" ht="89.25" x14ac:dyDescent="0.2">
      <c r="A18" s="177" t="s">
        <v>20</v>
      </c>
      <c r="B18" s="163" t="s">
        <v>29</v>
      </c>
      <c r="C18" s="165" t="s">
        <v>30</v>
      </c>
      <c r="D18" s="116" t="s">
        <v>24</v>
      </c>
      <c r="E18" s="147">
        <f>188.56-51.04</f>
        <v>137.52000000000001</v>
      </c>
      <c r="F18" s="154">
        <v>15.55</v>
      </c>
      <c r="G18" s="149">
        <f>ROUND(F18+(F18*$H$5),2)</f>
        <v>19.66</v>
      </c>
      <c r="H18" s="159">
        <f t="shared" ref="H18:H19" si="0">ROUND(E18*G18,2)</f>
        <v>2703.64</v>
      </c>
    </row>
    <row r="19" spans="1:8" ht="65.25" customHeight="1" x14ac:dyDescent="0.2">
      <c r="A19" s="144" t="s">
        <v>96</v>
      </c>
      <c r="B19" s="171" t="s">
        <v>94</v>
      </c>
      <c r="C19" s="165" t="s">
        <v>95</v>
      </c>
      <c r="D19" s="158" t="s">
        <v>26</v>
      </c>
      <c r="E19" s="147">
        <f>188.56-71.96</f>
        <v>116.60000000000001</v>
      </c>
      <c r="F19" s="154">
        <v>19.325688</v>
      </c>
      <c r="G19" s="149">
        <v>24.44</v>
      </c>
      <c r="H19" s="159">
        <f t="shared" si="0"/>
        <v>2849.7</v>
      </c>
    </row>
  </sheetData>
  <mergeCells count="4">
    <mergeCell ref="B5:C5"/>
    <mergeCell ref="A2:H2"/>
    <mergeCell ref="A3:H3"/>
    <mergeCell ref="A4:H4"/>
  </mergeCells>
  <pageMargins left="0.11811023622047245" right="0.11811023622047245" top="0.59055118110236227" bottom="0.39370078740157483" header="0.31496062992125984" footer="0.31496062992125984"/>
  <pageSetup paperSize="9" scale="90"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opLeftCell="A10" zoomScale="90" zoomScaleNormal="90" workbookViewId="0">
      <selection activeCell="A6" sqref="A6:C6"/>
    </sheetView>
  </sheetViews>
  <sheetFormatPr defaultRowHeight="12.75" x14ac:dyDescent="0.2"/>
  <cols>
    <col min="1" max="1" width="9.42578125" style="25" customWidth="1"/>
    <col min="2" max="2" width="8.85546875" style="25" customWidth="1"/>
    <col min="3" max="3" width="68" style="25" customWidth="1"/>
    <col min="4" max="4" width="16.140625" style="83" customWidth="1"/>
    <col min="5" max="5" width="14.5703125" style="83" customWidth="1"/>
    <col min="6" max="6" width="14.5703125" style="25" customWidth="1"/>
    <col min="7" max="7" width="12.42578125" style="25" customWidth="1"/>
    <col min="8" max="8" width="12.7109375" style="25" customWidth="1"/>
    <col min="9" max="11" width="10.7109375" style="25" customWidth="1"/>
    <col min="12" max="12" width="14" style="25" bestFit="1" customWidth="1"/>
    <col min="13" max="256" width="9.140625" style="25"/>
    <col min="257" max="257" width="9.42578125" style="25" customWidth="1"/>
    <col min="258" max="258" width="8.85546875" style="25" customWidth="1"/>
    <col min="259" max="259" width="68" style="25" customWidth="1"/>
    <col min="260" max="260" width="16.140625" style="25" customWidth="1"/>
    <col min="261" max="262" width="14.5703125" style="25" customWidth="1"/>
    <col min="263" max="263" width="12.42578125" style="25" customWidth="1"/>
    <col min="264" max="264" width="12.7109375" style="25" customWidth="1"/>
    <col min="265" max="267" width="10.7109375" style="25" customWidth="1"/>
    <col min="268" max="268" width="14" style="25" bestFit="1" customWidth="1"/>
    <col min="269" max="512" width="9.140625" style="25"/>
    <col min="513" max="513" width="9.42578125" style="25" customWidth="1"/>
    <col min="514" max="514" width="8.85546875" style="25" customWidth="1"/>
    <col min="515" max="515" width="68" style="25" customWidth="1"/>
    <col min="516" max="516" width="16.140625" style="25" customWidth="1"/>
    <col min="517" max="518" width="14.5703125" style="25" customWidth="1"/>
    <col min="519" max="519" width="12.42578125" style="25" customWidth="1"/>
    <col min="520" max="520" width="12.7109375" style="25" customWidth="1"/>
    <col min="521" max="523" width="10.7109375" style="25" customWidth="1"/>
    <col min="524" max="524" width="14" style="25" bestFit="1" customWidth="1"/>
    <col min="525" max="768" width="9.140625" style="25"/>
    <col min="769" max="769" width="9.42578125" style="25" customWidth="1"/>
    <col min="770" max="770" width="8.85546875" style="25" customWidth="1"/>
    <col min="771" max="771" width="68" style="25" customWidth="1"/>
    <col min="772" max="772" width="16.140625" style="25" customWidth="1"/>
    <col min="773" max="774" width="14.5703125" style="25" customWidth="1"/>
    <col min="775" max="775" width="12.42578125" style="25" customWidth="1"/>
    <col min="776" max="776" width="12.7109375" style="25" customWidth="1"/>
    <col min="777" max="779" width="10.7109375" style="25" customWidth="1"/>
    <col min="780" max="780" width="14" style="25" bestFit="1" customWidth="1"/>
    <col min="781" max="1024" width="9.140625" style="25"/>
    <col min="1025" max="1025" width="9.42578125" style="25" customWidth="1"/>
    <col min="1026" max="1026" width="8.85546875" style="25" customWidth="1"/>
    <col min="1027" max="1027" width="68" style="25" customWidth="1"/>
    <col min="1028" max="1028" width="16.140625" style="25" customWidth="1"/>
    <col min="1029" max="1030" width="14.5703125" style="25" customWidth="1"/>
    <col min="1031" max="1031" width="12.42578125" style="25" customWidth="1"/>
    <col min="1032" max="1032" width="12.7109375" style="25" customWidth="1"/>
    <col min="1033" max="1035" width="10.7109375" style="25" customWidth="1"/>
    <col min="1036" max="1036" width="14" style="25" bestFit="1" customWidth="1"/>
    <col min="1037" max="1280" width="9.140625" style="25"/>
    <col min="1281" max="1281" width="9.42578125" style="25" customWidth="1"/>
    <col min="1282" max="1282" width="8.85546875" style="25" customWidth="1"/>
    <col min="1283" max="1283" width="68" style="25" customWidth="1"/>
    <col min="1284" max="1284" width="16.140625" style="25" customWidth="1"/>
    <col min="1285" max="1286" width="14.5703125" style="25" customWidth="1"/>
    <col min="1287" max="1287" width="12.42578125" style="25" customWidth="1"/>
    <col min="1288" max="1288" width="12.7109375" style="25" customWidth="1"/>
    <col min="1289" max="1291" width="10.7109375" style="25" customWidth="1"/>
    <col min="1292" max="1292" width="14" style="25" bestFit="1" customWidth="1"/>
    <col min="1293" max="1536" width="9.140625" style="25"/>
    <col min="1537" max="1537" width="9.42578125" style="25" customWidth="1"/>
    <col min="1538" max="1538" width="8.85546875" style="25" customWidth="1"/>
    <col min="1539" max="1539" width="68" style="25" customWidth="1"/>
    <col min="1540" max="1540" width="16.140625" style="25" customWidth="1"/>
    <col min="1541" max="1542" width="14.5703125" style="25" customWidth="1"/>
    <col min="1543" max="1543" width="12.42578125" style="25" customWidth="1"/>
    <col min="1544" max="1544" width="12.7109375" style="25" customWidth="1"/>
    <col min="1545" max="1547" width="10.7109375" style="25" customWidth="1"/>
    <col min="1548" max="1548" width="14" style="25" bestFit="1" customWidth="1"/>
    <col min="1549" max="1792" width="9.140625" style="25"/>
    <col min="1793" max="1793" width="9.42578125" style="25" customWidth="1"/>
    <col min="1794" max="1794" width="8.85546875" style="25" customWidth="1"/>
    <col min="1795" max="1795" width="68" style="25" customWidth="1"/>
    <col min="1796" max="1796" width="16.140625" style="25" customWidth="1"/>
    <col min="1797" max="1798" width="14.5703125" style="25" customWidth="1"/>
    <col min="1799" max="1799" width="12.42578125" style="25" customWidth="1"/>
    <col min="1800" max="1800" width="12.7109375" style="25" customWidth="1"/>
    <col min="1801" max="1803" width="10.7109375" style="25" customWidth="1"/>
    <col min="1804" max="1804" width="14" style="25" bestFit="1" customWidth="1"/>
    <col min="1805" max="2048" width="9.140625" style="25"/>
    <col min="2049" max="2049" width="9.42578125" style="25" customWidth="1"/>
    <col min="2050" max="2050" width="8.85546875" style="25" customWidth="1"/>
    <col min="2051" max="2051" width="68" style="25" customWidth="1"/>
    <col min="2052" max="2052" width="16.140625" style="25" customWidth="1"/>
    <col min="2053" max="2054" width="14.5703125" style="25" customWidth="1"/>
    <col min="2055" max="2055" width="12.42578125" style="25" customWidth="1"/>
    <col min="2056" max="2056" width="12.7109375" style="25" customWidth="1"/>
    <col min="2057" max="2059" width="10.7109375" style="25" customWidth="1"/>
    <col min="2060" max="2060" width="14" style="25" bestFit="1" customWidth="1"/>
    <col min="2061" max="2304" width="9.140625" style="25"/>
    <col min="2305" max="2305" width="9.42578125" style="25" customWidth="1"/>
    <col min="2306" max="2306" width="8.85546875" style="25" customWidth="1"/>
    <col min="2307" max="2307" width="68" style="25" customWidth="1"/>
    <col min="2308" max="2308" width="16.140625" style="25" customWidth="1"/>
    <col min="2309" max="2310" width="14.5703125" style="25" customWidth="1"/>
    <col min="2311" max="2311" width="12.42578125" style="25" customWidth="1"/>
    <col min="2312" max="2312" width="12.7109375" style="25" customWidth="1"/>
    <col min="2313" max="2315" width="10.7109375" style="25" customWidth="1"/>
    <col min="2316" max="2316" width="14" style="25" bestFit="1" customWidth="1"/>
    <col min="2317" max="2560" width="9.140625" style="25"/>
    <col min="2561" max="2561" width="9.42578125" style="25" customWidth="1"/>
    <col min="2562" max="2562" width="8.85546875" style="25" customWidth="1"/>
    <col min="2563" max="2563" width="68" style="25" customWidth="1"/>
    <col min="2564" max="2564" width="16.140625" style="25" customWidth="1"/>
    <col min="2565" max="2566" width="14.5703125" style="25" customWidth="1"/>
    <col min="2567" max="2567" width="12.42578125" style="25" customWidth="1"/>
    <col min="2568" max="2568" width="12.7109375" style="25" customWidth="1"/>
    <col min="2569" max="2571" width="10.7109375" style="25" customWidth="1"/>
    <col min="2572" max="2572" width="14" style="25" bestFit="1" customWidth="1"/>
    <col min="2573" max="2816" width="9.140625" style="25"/>
    <col min="2817" max="2817" width="9.42578125" style="25" customWidth="1"/>
    <col min="2818" max="2818" width="8.85546875" style="25" customWidth="1"/>
    <col min="2819" max="2819" width="68" style="25" customWidth="1"/>
    <col min="2820" max="2820" width="16.140625" style="25" customWidth="1"/>
    <col min="2821" max="2822" width="14.5703125" style="25" customWidth="1"/>
    <col min="2823" max="2823" width="12.42578125" style="25" customWidth="1"/>
    <col min="2824" max="2824" width="12.7109375" style="25" customWidth="1"/>
    <col min="2825" max="2827" width="10.7109375" style="25" customWidth="1"/>
    <col min="2828" max="2828" width="14" style="25" bestFit="1" customWidth="1"/>
    <col min="2829" max="3072" width="9.140625" style="25"/>
    <col min="3073" max="3073" width="9.42578125" style="25" customWidth="1"/>
    <col min="3074" max="3074" width="8.85546875" style="25" customWidth="1"/>
    <col min="3075" max="3075" width="68" style="25" customWidth="1"/>
    <col min="3076" max="3076" width="16.140625" style="25" customWidth="1"/>
    <col min="3077" max="3078" width="14.5703125" style="25" customWidth="1"/>
    <col min="3079" max="3079" width="12.42578125" style="25" customWidth="1"/>
    <col min="3080" max="3080" width="12.7109375" style="25" customWidth="1"/>
    <col min="3081" max="3083" width="10.7109375" style="25" customWidth="1"/>
    <col min="3084" max="3084" width="14" style="25" bestFit="1" customWidth="1"/>
    <col min="3085" max="3328" width="9.140625" style="25"/>
    <col min="3329" max="3329" width="9.42578125" style="25" customWidth="1"/>
    <col min="3330" max="3330" width="8.85546875" style="25" customWidth="1"/>
    <col min="3331" max="3331" width="68" style="25" customWidth="1"/>
    <col min="3332" max="3332" width="16.140625" style="25" customWidth="1"/>
    <col min="3333" max="3334" width="14.5703125" style="25" customWidth="1"/>
    <col min="3335" max="3335" width="12.42578125" style="25" customWidth="1"/>
    <col min="3336" max="3336" width="12.7109375" style="25" customWidth="1"/>
    <col min="3337" max="3339" width="10.7109375" style="25" customWidth="1"/>
    <col min="3340" max="3340" width="14" style="25" bestFit="1" customWidth="1"/>
    <col min="3341" max="3584" width="9.140625" style="25"/>
    <col min="3585" max="3585" width="9.42578125" style="25" customWidth="1"/>
    <col min="3586" max="3586" width="8.85546875" style="25" customWidth="1"/>
    <col min="3587" max="3587" width="68" style="25" customWidth="1"/>
    <col min="3588" max="3588" width="16.140625" style="25" customWidth="1"/>
    <col min="3589" max="3590" width="14.5703125" style="25" customWidth="1"/>
    <col min="3591" max="3591" width="12.42578125" style="25" customWidth="1"/>
    <col min="3592" max="3592" width="12.7109375" style="25" customWidth="1"/>
    <col min="3593" max="3595" width="10.7109375" style="25" customWidth="1"/>
    <col min="3596" max="3596" width="14" style="25" bestFit="1" customWidth="1"/>
    <col min="3597" max="3840" width="9.140625" style="25"/>
    <col min="3841" max="3841" width="9.42578125" style="25" customWidth="1"/>
    <col min="3842" max="3842" width="8.85546875" style="25" customWidth="1"/>
    <col min="3843" max="3843" width="68" style="25" customWidth="1"/>
    <col min="3844" max="3844" width="16.140625" style="25" customWidth="1"/>
    <col min="3845" max="3846" width="14.5703125" style="25" customWidth="1"/>
    <col min="3847" max="3847" width="12.42578125" style="25" customWidth="1"/>
    <col min="3848" max="3848" width="12.7109375" style="25" customWidth="1"/>
    <col min="3849" max="3851" width="10.7109375" style="25" customWidth="1"/>
    <col min="3852" max="3852" width="14" style="25" bestFit="1" customWidth="1"/>
    <col min="3853" max="4096" width="9.140625" style="25"/>
    <col min="4097" max="4097" width="9.42578125" style="25" customWidth="1"/>
    <col min="4098" max="4098" width="8.85546875" style="25" customWidth="1"/>
    <col min="4099" max="4099" width="68" style="25" customWidth="1"/>
    <col min="4100" max="4100" width="16.140625" style="25" customWidth="1"/>
    <col min="4101" max="4102" width="14.5703125" style="25" customWidth="1"/>
    <col min="4103" max="4103" width="12.42578125" style="25" customWidth="1"/>
    <col min="4104" max="4104" width="12.7109375" style="25" customWidth="1"/>
    <col min="4105" max="4107" width="10.7109375" style="25" customWidth="1"/>
    <col min="4108" max="4108" width="14" style="25" bestFit="1" customWidth="1"/>
    <col min="4109" max="4352" width="9.140625" style="25"/>
    <col min="4353" max="4353" width="9.42578125" style="25" customWidth="1"/>
    <col min="4354" max="4354" width="8.85546875" style="25" customWidth="1"/>
    <col min="4355" max="4355" width="68" style="25" customWidth="1"/>
    <col min="4356" max="4356" width="16.140625" style="25" customWidth="1"/>
    <col min="4357" max="4358" width="14.5703125" style="25" customWidth="1"/>
    <col min="4359" max="4359" width="12.42578125" style="25" customWidth="1"/>
    <col min="4360" max="4360" width="12.7109375" style="25" customWidth="1"/>
    <col min="4361" max="4363" width="10.7109375" style="25" customWidth="1"/>
    <col min="4364" max="4364" width="14" style="25" bestFit="1" customWidth="1"/>
    <col min="4365" max="4608" width="9.140625" style="25"/>
    <col min="4609" max="4609" width="9.42578125" style="25" customWidth="1"/>
    <col min="4610" max="4610" width="8.85546875" style="25" customWidth="1"/>
    <col min="4611" max="4611" width="68" style="25" customWidth="1"/>
    <col min="4612" max="4612" width="16.140625" style="25" customWidth="1"/>
    <col min="4613" max="4614" width="14.5703125" style="25" customWidth="1"/>
    <col min="4615" max="4615" width="12.42578125" style="25" customWidth="1"/>
    <col min="4616" max="4616" width="12.7109375" style="25" customWidth="1"/>
    <col min="4617" max="4619" width="10.7109375" style="25" customWidth="1"/>
    <col min="4620" max="4620" width="14" style="25" bestFit="1" customWidth="1"/>
    <col min="4621" max="4864" width="9.140625" style="25"/>
    <col min="4865" max="4865" width="9.42578125" style="25" customWidth="1"/>
    <col min="4866" max="4866" width="8.85546875" style="25" customWidth="1"/>
    <col min="4867" max="4867" width="68" style="25" customWidth="1"/>
    <col min="4868" max="4868" width="16.140625" style="25" customWidth="1"/>
    <col min="4869" max="4870" width="14.5703125" style="25" customWidth="1"/>
    <col min="4871" max="4871" width="12.42578125" style="25" customWidth="1"/>
    <col min="4872" max="4872" width="12.7109375" style="25" customWidth="1"/>
    <col min="4873" max="4875" width="10.7109375" style="25" customWidth="1"/>
    <col min="4876" max="4876" width="14" style="25" bestFit="1" customWidth="1"/>
    <col min="4877" max="5120" width="9.140625" style="25"/>
    <col min="5121" max="5121" width="9.42578125" style="25" customWidth="1"/>
    <col min="5122" max="5122" width="8.85546875" style="25" customWidth="1"/>
    <col min="5123" max="5123" width="68" style="25" customWidth="1"/>
    <col min="5124" max="5124" width="16.140625" style="25" customWidth="1"/>
    <col min="5125" max="5126" width="14.5703125" style="25" customWidth="1"/>
    <col min="5127" max="5127" width="12.42578125" style="25" customWidth="1"/>
    <col min="5128" max="5128" width="12.7109375" style="25" customWidth="1"/>
    <col min="5129" max="5131" width="10.7109375" style="25" customWidth="1"/>
    <col min="5132" max="5132" width="14" style="25" bestFit="1" customWidth="1"/>
    <col min="5133" max="5376" width="9.140625" style="25"/>
    <col min="5377" max="5377" width="9.42578125" style="25" customWidth="1"/>
    <col min="5378" max="5378" width="8.85546875" style="25" customWidth="1"/>
    <col min="5379" max="5379" width="68" style="25" customWidth="1"/>
    <col min="5380" max="5380" width="16.140625" style="25" customWidth="1"/>
    <col min="5381" max="5382" width="14.5703125" style="25" customWidth="1"/>
    <col min="5383" max="5383" width="12.42578125" style="25" customWidth="1"/>
    <col min="5384" max="5384" width="12.7109375" style="25" customWidth="1"/>
    <col min="5385" max="5387" width="10.7109375" style="25" customWidth="1"/>
    <col min="5388" max="5388" width="14" style="25" bestFit="1" customWidth="1"/>
    <col min="5389" max="5632" width="9.140625" style="25"/>
    <col min="5633" max="5633" width="9.42578125" style="25" customWidth="1"/>
    <col min="5634" max="5634" width="8.85546875" style="25" customWidth="1"/>
    <col min="5635" max="5635" width="68" style="25" customWidth="1"/>
    <col min="5636" max="5636" width="16.140625" style="25" customWidth="1"/>
    <col min="5637" max="5638" width="14.5703125" style="25" customWidth="1"/>
    <col min="5639" max="5639" width="12.42578125" style="25" customWidth="1"/>
    <col min="5640" max="5640" width="12.7109375" style="25" customWidth="1"/>
    <col min="5641" max="5643" width="10.7109375" style="25" customWidth="1"/>
    <col min="5644" max="5644" width="14" style="25" bestFit="1" customWidth="1"/>
    <col min="5645" max="5888" width="9.140625" style="25"/>
    <col min="5889" max="5889" width="9.42578125" style="25" customWidth="1"/>
    <col min="5890" max="5890" width="8.85546875" style="25" customWidth="1"/>
    <col min="5891" max="5891" width="68" style="25" customWidth="1"/>
    <col min="5892" max="5892" width="16.140625" style="25" customWidth="1"/>
    <col min="5893" max="5894" width="14.5703125" style="25" customWidth="1"/>
    <col min="5895" max="5895" width="12.42578125" style="25" customWidth="1"/>
    <col min="5896" max="5896" width="12.7109375" style="25" customWidth="1"/>
    <col min="5897" max="5899" width="10.7109375" style="25" customWidth="1"/>
    <col min="5900" max="5900" width="14" style="25" bestFit="1" customWidth="1"/>
    <col min="5901" max="6144" width="9.140625" style="25"/>
    <col min="6145" max="6145" width="9.42578125" style="25" customWidth="1"/>
    <col min="6146" max="6146" width="8.85546875" style="25" customWidth="1"/>
    <col min="6147" max="6147" width="68" style="25" customWidth="1"/>
    <col min="6148" max="6148" width="16.140625" style="25" customWidth="1"/>
    <col min="6149" max="6150" width="14.5703125" style="25" customWidth="1"/>
    <col min="6151" max="6151" width="12.42578125" style="25" customWidth="1"/>
    <col min="6152" max="6152" width="12.7109375" style="25" customWidth="1"/>
    <col min="6153" max="6155" width="10.7109375" style="25" customWidth="1"/>
    <col min="6156" max="6156" width="14" style="25" bestFit="1" customWidth="1"/>
    <col min="6157" max="6400" width="9.140625" style="25"/>
    <col min="6401" max="6401" width="9.42578125" style="25" customWidth="1"/>
    <col min="6402" max="6402" width="8.85546875" style="25" customWidth="1"/>
    <col min="6403" max="6403" width="68" style="25" customWidth="1"/>
    <col min="6404" max="6404" width="16.140625" style="25" customWidth="1"/>
    <col min="6405" max="6406" width="14.5703125" style="25" customWidth="1"/>
    <col min="6407" max="6407" width="12.42578125" style="25" customWidth="1"/>
    <col min="6408" max="6408" width="12.7109375" style="25" customWidth="1"/>
    <col min="6409" max="6411" width="10.7109375" style="25" customWidth="1"/>
    <col min="6412" max="6412" width="14" style="25" bestFit="1" customWidth="1"/>
    <col min="6413" max="6656" width="9.140625" style="25"/>
    <col min="6657" max="6657" width="9.42578125" style="25" customWidth="1"/>
    <col min="6658" max="6658" width="8.85546875" style="25" customWidth="1"/>
    <col min="6659" max="6659" width="68" style="25" customWidth="1"/>
    <col min="6660" max="6660" width="16.140625" style="25" customWidth="1"/>
    <col min="6661" max="6662" width="14.5703125" style="25" customWidth="1"/>
    <col min="6663" max="6663" width="12.42578125" style="25" customWidth="1"/>
    <col min="6664" max="6664" width="12.7109375" style="25" customWidth="1"/>
    <col min="6665" max="6667" width="10.7109375" style="25" customWidth="1"/>
    <col min="6668" max="6668" width="14" style="25" bestFit="1" customWidth="1"/>
    <col min="6669" max="6912" width="9.140625" style="25"/>
    <col min="6913" max="6913" width="9.42578125" style="25" customWidth="1"/>
    <col min="6914" max="6914" width="8.85546875" style="25" customWidth="1"/>
    <col min="6915" max="6915" width="68" style="25" customWidth="1"/>
    <col min="6916" max="6916" width="16.140625" style="25" customWidth="1"/>
    <col min="6917" max="6918" width="14.5703125" style="25" customWidth="1"/>
    <col min="6919" max="6919" width="12.42578125" style="25" customWidth="1"/>
    <col min="6920" max="6920" width="12.7109375" style="25" customWidth="1"/>
    <col min="6921" max="6923" width="10.7109375" style="25" customWidth="1"/>
    <col min="6924" max="6924" width="14" style="25" bestFit="1" customWidth="1"/>
    <col min="6925" max="7168" width="9.140625" style="25"/>
    <col min="7169" max="7169" width="9.42578125" style="25" customWidth="1"/>
    <col min="7170" max="7170" width="8.85546875" style="25" customWidth="1"/>
    <col min="7171" max="7171" width="68" style="25" customWidth="1"/>
    <col min="7172" max="7172" width="16.140625" style="25" customWidth="1"/>
    <col min="7173" max="7174" width="14.5703125" style="25" customWidth="1"/>
    <col min="7175" max="7175" width="12.42578125" style="25" customWidth="1"/>
    <col min="7176" max="7176" width="12.7109375" style="25" customWidth="1"/>
    <col min="7177" max="7179" width="10.7109375" style="25" customWidth="1"/>
    <col min="7180" max="7180" width="14" style="25" bestFit="1" customWidth="1"/>
    <col min="7181" max="7424" width="9.140625" style="25"/>
    <col min="7425" max="7425" width="9.42578125" style="25" customWidth="1"/>
    <col min="7426" max="7426" width="8.85546875" style="25" customWidth="1"/>
    <col min="7427" max="7427" width="68" style="25" customWidth="1"/>
    <col min="7428" max="7428" width="16.140625" style="25" customWidth="1"/>
    <col min="7429" max="7430" width="14.5703125" style="25" customWidth="1"/>
    <col min="7431" max="7431" width="12.42578125" style="25" customWidth="1"/>
    <col min="7432" max="7432" width="12.7109375" style="25" customWidth="1"/>
    <col min="7433" max="7435" width="10.7109375" style="25" customWidth="1"/>
    <col min="7436" max="7436" width="14" style="25" bestFit="1" customWidth="1"/>
    <col min="7437" max="7680" width="9.140625" style="25"/>
    <col min="7681" max="7681" width="9.42578125" style="25" customWidth="1"/>
    <col min="7682" max="7682" width="8.85546875" style="25" customWidth="1"/>
    <col min="7683" max="7683" width="68" style="25" customWidth="1"/>
    <col min="7684" max="7684" width="16.140625" style="25" customWidth="1"/>
    <col min="7685" max="7686" width="14.5703125" style="25" customWidth="1"/>
    <col min="7687" max="7687" width="12.42578125" style="25" customWidth="1"/>
    <col min="7688" max="7688" width="12.7109375" style="25" customWidth="1"/>
    <col min="7689" max="7691" width="10.7109375" style="25" customWidth="1"/>
    <col min="7692" max="7692" width="14" style="25" bestFit="1" customWidth="1"/>
    <col min="7693" max="7936" width="9.140625" style="25"/>
    <col min="7937" max="7937" width="9.42578125" style="25" customWidth="1"/>
    <col min="7938" max="7938" width="8.85546875" style="25" customWidth="1"/>
    <col min="7939" max="7939" width="68" style="25" customWidth="1"/>
    <col min="7940" max="7940" width="16.140625" style="25" customWidth="1"/>
    <col min="7941" max="7942" width="14.5703125" style="25" customWidth="1"/>
    <col min="7943" max="7943" width="12.42578125" style="25" customWidth="1"/>
    <col min="7944" max="7944" width="12.7109375" style="25" customWidth="1"/>
    <col min="7945" max="7947" width="10.7109375" style="25" customWidth="1"/>
    <col min="7948" max="7948" width="14" style="25" bestFit="1" customWidth="1"/>
    <col min="7949" max="8192" width="9.140625" style="25"/>
    <col min="8193" max="8193" width="9.42578125" style="25" customWidth="1"/>
    <col min="8194" max="8194" width="8.85546875" style="25" customWidth="1"/>
    <col min="8195" max="8195" width="68" style="25" customWidth="1"/>
    <col min="8196" max="8196" width="16.140625" style="25" customWidth="1"/>
    <col min="8197" max="8198" width="14.5703125" style="25" customWidth="1"/>
    <col min="8199" max="8199" width="12.42578125" style="25" customWidth="1"/>
    <col min="8200" max="8200" width="12.7109375" style="25" customWidth="1"/>
    <col min="8201" max="8203" width="10.7109375" style="25" customWidth="1"/>
    <col min="8204" max="8204" width="14" style="25" bestFit="1" customWidth="1"/>
    <col min="8205" max="8448" width="9.140625" style="25"/>
    <col min="8449" max="8449" width="9.42578125" style="25" customWidth="1"/>
    <col min="8450" max="8450" width="8.85546875" style="25" customWidth="1"/>
    <col min="8451" max="8451" width="68" style="25" customWidth="1"/>
    <col min="8452" max="8452" width="16.140625" style="25" customWidth="1"/>
    <col min="8453" max="8454" width="14.5703125" style="25" customWidth="1"/>
    <col min="8455" max="8455" width="12.42578125" style="25" customWidth="1"/>
    <col min="8456" max="8456" width="12.7109375" style="25" customWidth="1"/>
    <col min="8457" max="8459" width="10.7109375" style="25" customWidth="1"/>
    <col min="8460" max="8460" width="14" style="25" bestFit="1" customWidth="1"/>
    <col min="8461" max="8704" width="9.140625" style="25"/>
    <col min="8705" max="8705" width="9.42578125" style="25" customWidth="1"/>
    <col min="8706" max="8706" width="8.85546875" style="25" customWidth="1"/>
    <col min="8707" max="8707" width="68" style="25" customWidth="1"/>
    <col min="8708" max="8708" width="16.140625" style="25" customWidth="1"/>
    <col min="8709" max="8710" width="14.5703125" style="25" customWidth="1"/>
    <col min="8711" max="8711" width="12.42578125" style="25" customWidth="1"/>
    <col min="8712" max="8712" width="12.7109375" style="25" customWidth="1"/>
    <col min="8713" max="8715" width="10.7109375" style="25" customWidth="1"/>
    <col min="8716" max="8716" width="14" style="25" bestFit="1" customWidth="1"/>
    <col min="8717" max="8960" width="9.140625" style="25"/>
    <col min="8961" max="8961" width="9.42578125" style="25" customWidth="1"/>
    <col min="8962" max="8962" width="8.85546875" style="25" customWidth="1"/>
    <col min="8963" max="8963" width="68" style="25" customWidth="1"/>
    <col min="8964" max="8964" width="16.140625" style="25" customWidth="1"/>
    <col min="8965" max="8966" width="14.5703125" style="25" customWidth="1"/>
    <col min="8967" max="8967" width="12.42578125" style="25" customWidth="1"/>
    <col min="8968" max="8968" width="12.7109375" style="25" customWidth="1"/>
    <col min="8969" max="8971" width="10.7109375" style="25" customWidth="1"/>
    <col min="8972" max="8972" width="14" style="25" bestFit="1" customWidth="1"/>
    <col min="8973" max="9216" width="9.140625" style="25"/>
    <col min="9217" max="9217" width="9.42578125" style="25" customWidth="1"/>
    <col min="9218" max="9218" width="8.85546875" style="25" customWidth="1"/>
    <col min="9219" max="9219" width="68" style="25" customWidth="1"/>
    <col min="9220" max="9220" width="16.140625" style="25" customWidth="1"/>
    <col min="9221" max="9222" width="14.5703125" style="25" customWidth="1"/>
    <col min="9223" max="9223" width="12.42578125" style="25" customWidth="1"/>
    <col min="9224" max="9224" width="12.7109375" style="25" customWidth="1"/>
    <col min="9225" max="9227" width="10.7109375" style="25" customWidth="1"/>
    <col min="9228" max="9228" width="14" style="25" bestFit="1" customWidth="1"/>
    <col min="9229" max="9472" width="9.140625" style="25"/>
    <col min="9473" max="9473" width="9.42578125" style="25" customWidth="1"/>
    <col min="9474" max="9474" width="8.85546875" style="25" customWidth="1"/>
    <col min="9475" max="9475" width="68" style="25" customWidth="1"/>
    <col min="9476" max="9476" width="16.140625" style="25" customWidth="1"/>
    <col min="9477" max="9478" width="14.5703125" style="25" customWidth="1"/>
    <col min="9479" max="9479" width="12.42578125" style="25" customWidth="1"/>
    <col min="9480" max="9480" width="12.7109375" style="25" customWidth="1"/>
    <col min="9481" max="9483" width="10.7109375" style="25" customWidth="1"/>
    <col min="9484" max="9484" width="14" style="25" bestFit="1" customWidth="1"/>
    <col min="9485" max="9728" width="9.140625" style="25"/>
    <col min="9729" max="9729" width="9.42578125" style="25" customWidth="1"/>
    <col min="9730" max="9730" width="8.85546875" style="25" customWidth="1"/>
    <col min="9731" max="9731" width="68" style="25" customWidth="1"/>
    <col min="9732" max="9732" width="16.140625" style="25" customWidth="1"/>
    <col min="9733" max="9734" width="14.5703125" style="25" customWidth="1"/>
    <col min="9735" max="9735" width="12.42578125" style="25" customWidth="1"/>
    <col min="9736" max="9736" width="12.7109375" style="25" customWidth="1"/>
    <col min="9737" max="9739" width="10.7109375" style="25" customWidth="1"/>
    <col min="9740" max="9740" width="14" style="25" bestFit="1" customWidth="1"/>
    <col min="9741" max="9984" width="9.140625" style="25"/>
    <col min="9985" max="9985" width="9.42578125" style="25" customWidth="1"/>
    <col min="9986" max="9986" width="8.85546875" style="25" customWidth="1"/>
    <col min="9987" max="9987" width="68" style="25" customWidth="1"/>
    <col min="9988" max="9988" width="16.140625" style="25" customWidth="1"/>
    <col min="9989" max="9990" width="14.5703125" style="25" customWidth="1"/>
    <col min="9991" max="9991" width="12.42578125" style="25" customWidth="1"/>
    <col min="9992" max="9992" width="12.7109375" style="25" customWidth="1"/>
    <col min="9993" max="9995" width="10.7109375" style="25" customWidth="1"/>
    <col min="9996" max="9996" width="14" style="25" bestFit="1" customWidth="1"/>
    <col min="9997" max="10240" width="9.140625" style="25"/>
    <col min="10241" max="10241" width="9.42578125" style="25" customWidth="1"/>
    <col min="10242" max="10242" width="8.85546875" style="25" customWidth="1"/>
    <col min="10243" max="10243" width="68" style="25" customWidth="1"/>
    <col min="10244" max="10244" width="16.140625" style="25" customWidth="1"/>
    <col min="10245" max="10246" width="14.5703125" style="25" customWidth="1"/>
    <col min="10247" max="10247" width="12.42578125" style="25" customWidth="1"/>
    <col min="10248" max="10248" width="12.7109375" style="25" customWidth="1"/>
    <col min="10249" max="10251" width="10.7109375" style="25" customWidth="1"/>
    <col min="10252" max="10252" width="14" style="25" bestFit="1" customWidth="1"/>
    <col min="10253" max="10496" width="9.140625" style="25"/>
    <col min="10497" max="10497" width="9.42578125" style="25" customWidth="1"/>
    <col min="10498" max="10498" width="8.85546875" style="25" customWidth="1"/>
    <col min="10499" max="10499" width="68" style="25" customWidth="1"/>
    <col min="10500" max="10500" width="16.140625" style="25" customWidth="1"/>
    <col min="10501" max="10502" width="14.5703125" style="25" customWidth="1"/>
    <col min="10503" max="10503" width="12.42578125" style="25" customWidth="1"/>
    <col min="10504" max="10504" width="12.7109375" style="25" customWidth="1"/>
    <col min="10505" max="10507" width="10.7109375" style="25" customWidth="1"/>
    <col min="10508" max="10508" width="14" style="25" bestFit="1" customWidth="1"/>
    <col min="10509" max="10752" width="9.140625" style="25"/>
    <col min="10753" max="10753" width="9.42578125" style="25" customWidth="1"/>
    <col min="10754" max="10754" width="8.85546875" style="25" customWidth="1"/>
    <col min="10755" max="10755" width="68" style="25" customWidth="1"/>
    <col min="10756" max="10756" width="16.140625" style="25" customWidth="1"/>
    <col min="10757" max="10758" width="14.5703125" style="25" customWidth="1"/>
    <col min="10759" max="10759" width="12.42578125" style="25" customWidth="1"/>
    <col min="10760" max="10760" width="12.7109375" style="25" customWidth="1"/>
    <col min="10761" max="10763" width="10.7109375" style="25" customWidth="1"/>
    <col min="10764" max="10764" width="14" style="25" bestFit="1" customWidth="1"/>
    <col min="10765" max="11008" width="9.140625" style="25"/>
    <col min="11009" max="11009" width="9.42578125" style="25" customWidth="1"/>
    <col min="11010" max="11010" width="8.85546875" style="25" customWidth="1"/>
    <col min="11011" max="11011" width="68" style="25" customWidth="1"/>
    <col min="11012" max="11012" width="16.140625" style="25" customWidth="1"/>
    <col min="11013" max="11014" width="14.5703125" style="25" customWidth="1"/>
    <col min="11015" max="11015" width="12.42578125" style="25" customWidth="1"/>
    <col min="11016" max="11016" width="12.7109375" style="25" customWidth="1"/>
    <col min="11017" max="11019" width="10.7109375" style="25" customWidth="1"/>
    <col min="11020" max="11020" width="14" style="25" bestFit="1" customWidth="1"/>
    <col min="11021" max="11264" width="9.140625" style="25"/>
    <col min="11265" max="11265" width="9.42578125" style="25" customWidth="1"/>
    <col min="11266" max="11266" width="8.85546875" style="25" customWidth="1"/>
    <col min="11267" max="11267" width="68" style="25" customWidth="1"/>
    <col min="11268" max="11268" width="16.140625" style="25" customWidth="1"/>
    <col min="11269" max="11270" width="14.5703125" style="25" customWidth="1"/>
    <col min="11271" max="11271" width="12.42578125" style="25" customWidth="1"/>
    <col min="11272" max="11272" width="12.7109375" style="25" customWidth="1"/>
    <col min="11273" max="11275" width="10.7109375" style="25" customWidth="1"/>
    <col min="11276" max="11276" width="14" style="25" bestFit="1" customWidth="1"/>
    <col min="11277" max="11520" width="9.140625" style="25"/>
    <col min="11521" max="11521" width="9.42578125" style="25" customWidth="1"/>
    <col min="11522" max="11522" width="8.85546875" style="25" customWidth="1"/>
    <col min="11523" max="11523" width="68" style="25" customWidth="1"/>
    <col min="11524" max="11524" width="16.140625" style="25" customWidth="1"/>
    <col min="11525" max="11526" width="14.5703125" style="25" customWidth="1"/>
    <col min="11527" max="11527" width="12.42578125" style="25" customWidth="1"/>
    <col min="11528" max="11528" width="12.7109375" style="25" customWidth="1"/>
    <col min="11529" max="11531" width="10.7109375" style="25" customWidth="1"/>
    <col min="11532" max="11532" width="14" style="25" bestFit="1" customWidth="1"/>
    <col min="11533" max="11776" width="9.140625" style="25"/>
    <col min="11777" max="11777" width="9.42578125" style="25" customWidth="1"/>
    <col min="11778" max="11778" width="8.85546875" style="25" customWidth="1"/>
    <col min="11779" max="11779" width="68" style="25" customWidth="1"/>
    <col min="11780" max="11780" width="16.140625" style="25" customWidth="1"/>
    <col min="11781" max="11782" width="14.5703125" style="25" customWidth="1"/>
    <col min="11783" max="11783" width="12.42578125" style="25" customWidth="1"/>
    <col min="11784" max="11784" width="12.7109375" style="25" customWidth="1"/>
    <col min="11785" max="11787" width="10.7109375" style="25" customWidth="1"/>
    <col min="11788" max="11788" width="14" style="25" bestFit="1" customWidth="1"/>
    <col min="11789" max="12032" width="9.140625" style="25"/>
    <col min="12033" max="12033" width="9.42578125" style="25" customWidth="1"/>
    <col min="12034" max="12034" width="8.85546875" style="25" customWidth="1"/>
    <col min="12035" max="12035" width="68" style="25" customWidth="1"/>
    <col min="12036" max="12036" width="16.140625" style="25" customWidth="1"/>
    <col min="12037" max="12038" width="14.5703125" style="25" customWidth="1"/>
    <col min="12039" max="12039" width="12.42578125" style="25" customWidth="1"/>
    <col min="12040" max="12040" width="12.7109375" style="25" customWidth="1"/>
    <col min="12041" max="12043" width="10.7109375" style="25" customWidth="1"/>
    <col min="12044" max="12044" width="14" style="25" bestFit="1" customWidth="1"/>
    <col min="12045" max="12288" width="9.140625" style="25"/>
    <col min="12289" max="12289" width="9.42578125" style="25" customWidth="1"/>
    <col min="12290" max="12290" width="8.85546875" style="25" customWidth="1"/>
    <col min="12291" max="12291" width="68" style="25" customWidth="1"/>
    <col min="12292" max="12292" width="16.140625" style="25" customWidth="1"/>
    <col min="12293" max="12294" width="14.5703125" style="25" customWidth="1"/>
    <col min="12295" max="12295" width="12.42578125" style="25" customWidth="1"/>
    <col min="12296" max="12296" width="12.7109375" style="25" customWidth="1"/>
    <col min="12297" max="12299" width="10.7109375" style="25" customWidth="1"/>
    <col min="12300" max="12300" width="14" style="25" bestFit="1" customWidth="1"/>
    <col min="12301" max="12544" width="9.140625" style="25"/>
    <col min="12545" max="12545" width="9.42578125" style="25" customWidth="1"/>
    <col min="12546" max="12546" width="8.85546875" style="25" customWidth="1"/>
    <col min="12547" max="12547" width="68" style="25" customWidth="1"/>
    <col min="12548" max="12548" width="16.140625" style="25" customWidth="1"/>
    <col min="12549" max="12550" width="14.5703125" style="25" customWidth="1"/>
    <col min="12551" max="12551" width="12.42578125" style="25" customWidth="1"/>
    <col min="12552" max="12552" width="12.7109375" style="25" customWidth="1"/>
    <col min="12553" max="12555" width="10.7109375" style="25" customWidth="1"/>
    <col min="12556" max="12556" width="14" style="25" bestFit="1" customWidth="1"/>
    <col min="12557" max="12800" width="9.140625" style="25"/>
    <col min="12801" max="12801" width="9.42578125" style="25" customWidth="1"/>
    <col min="12802" max="12802" width="8.85546875" style="25" customWidth="1"/>
    <col min="12803" max="12803" width="68" style="25" customWidth="1"/>
    <col min="12804" max="12804" width="16.140625" style="25" customWidth="1"/>
    <col min="12805" max="12806" width="14.5703125" style="25" customWidth="1"/>
    <col min="12807" max="12807" width="12.42578125" style="25" customWidth="1"/>
    <col min="12808" max="12808" width="12.7109375" style="25" customWidth="1"/>
    <col min="12809" max="12811" width="10.7109375" style="25" customWidth="1"/>
    <col min="12812" max="12812" width="14" style="25" bestFit="1" customWidth="1"/>
    <col min="12813" max="13056" width="9.140625" style="25"/>
    <col min="13057" max="13057" width="9.42578125" style="25" customWidth="1"/>
    <col min="13058" max="13058" width="8.85546875" style="25" customWidth="1"/>
    <col min="13059" max="13059" width="68" style="25" customWidth="1"/>
    <col min="13060" max="13060" width="16.140625" style="25" customWidth="1"/>
    <col min="13061" max="13062" width="14.5703125" style="25" customWidth="1"/>
    <col min="13063" max="13063" width="12.42578125" style="25" customWidth="1"/>
    <col min="13064" max="13064" width="12.7109375" style="25" customWidth="1"/>
    <col min="13065" max="13067" width="10.7109375" style="25" customWidth="1"/>
    <col min="13068" max="13068" width="14" style="25" bestFit="1" customWidth="1"/>
    <col min="13069" max="13312" width="9.140625" style="25"/>
    <col min="13313" max="13313" width="9.42578125" style="25" customWidth="1"/>
    <col min="13314" max="13314" width="8.85546875" style="25" customWidth="1"/>
    <col min="13315" max="13315" width="68" style="25" customWidth="1"/>
    <col min="13316" max="13316" width="16.140625" style="25" customWidth="1"/>
    <col min="13317" max="13318" width="14.5703125" style="25" customWidth="1"/>
    <col min="13319" max="13319" width="12.42578125" style="25" customWidth="1"/>
    <col min="13320" max="13320" width="12.7109375" style="25" customWidth="1"/>
    <col min="13321" max="13323" width="10.7109375" style="25" customWidth="1"/>
    <col min="13324" max="13324" width="14" style="25" bestFit="1" customWidth="1"/>
    <col min="13325" max="13568" width="9.140625" style="25"/>
    <col min="13569" max="13569" width="9.42578125" style="25" customWidth="1"/>
    <col min="13570" max="13570" width="8.85546875" style="25" customWidth="1"/>
    <col min="13571" max="13571" width="68" style="25" customWidth="1"/>
    <col min="13572" max="13572" width="16.140625" style="25" customWidth="1"/>
    <col min="13573" max="13574" width="14.5703125" style="25" customWidth="1"/>
    <col min="13575" max="13575" width="12.42578125" style="25" customWidth="1"/>
    <col min="13576" max="13576" width="12.7109375" style="25" customWidth="1"/>
    <col min="13577" max="13579" width="10.7109375" style="25" customWidth="1"/>
    <col min="13580" max="13580" width="14" style="25" bestFit="1" customWidth="1"/>
    <col min="13581" max="13824" width="9.140625" style="25"/>
    <col min="13825" max="13825" width="9.42578125" style="25" customWidth="1"/>
    <col min="13826" max="13826" width="8.85546875" style="25" customWidth="1"/>
    <col min="13827" max="13827" width="68" style="25" customWidth="1"/>
    <col min="13828" max="13828" width="16.140625" style="25" customWidth="1"/>
    <col min="13829" max="13830" width="14.5703125" style="25" customWidth="1"/>
    <col min="13831" max="13831" width="12.42578125" style="25" customWidth="1"/>
    <col min="13832" max="13832" width="12.7109375" style="25" customWidth="1"/>
    <col min="13833" max="13835" width="10.7109375" style="25" customWidth="1"/>
    <col min="13836" max="13836" width="14" style="25" bestFit="1" customWidth="1"/>
    <col min="13837" max="14080" width="9.140625" style="25"/>
    <col min="14081" max="14081" width="9.42578125" style="25" customWidth="1"/>
    <col min="14082" max="14082" width="8.85546875" style="25" customWidth="1"/>
    <col min="14083" max="14083" width="68" style="25" customWidth="1"/>
    <col min="14084" max="14084" width="16.140625" style="25" customWidth="1"/>
    <col min="14085" max="14086" width="14.5703125" style="25" customWidth="1"/>
    <col min="14087" max="14087" width="12.42578125" style="25" customWidth="1"/>
    <col min="14088" max="14088" width="12.7109375" style="25" customWidth="1"/>
    <col min="14089" max="14091" width="10.7109375" style="25" customWidth="1"/>
    <col min="14092" max="14092" width="14" style="25" bestFit="1" customWidth="1"/>
    <col min="14093" max="14336" width="9.140625" style="25"/>
    <col min="14337" max="14337" width="9.42578125" style="25" customWidth="1"/>
    <col min="14338" max="14338" width="8.85546875" style="25" customWidth="1"/>
    <col min="14339" max="14339" width="68" style="25" customWidth="1"/>
    <col min="14340" max="14340" width="16.140625" style="25" customWidth="1"/>
    <col min="14341" max="14342" width="14.5703125" style="25" customWidth="1"/>
    <col min="14343" max="14343" width="12.42578125" style="25" customWidth="1"/>
    <col min="14344" max="14344" width="12.7109375" style="25" customWidth="1"/>
    <col min="14345" max="14347" width="10.7109375" style="25" customWidth="1"/>
    <col min="14348" max="14348" width="14" style="25" bestFit="1" customWidth="1"/>
    <col min="14349" max="14592" width="9.140625" style="25"/>
    <col min="14593" max="14593" width="9.42578125" style="25" customWidth="1"/>
    <col min="14594" max="14594" width="8.85546875" style="25" customWidth="1"/>
    <col min="14595" max="14595" width="68" style="25" customWidth="1"/>
    <col min="14596" max="14596" width="16.140625" style="25" customWidth="1"/>
    <col min="14597" max="14598" width="14.5703125" style="25" customWidth="1"/>
    <col min="14599" max="14599" width="12.42578125" style="25" customWidth="1"/>
    <col min="14600" max="14600" width="12.7109375" style="25" customWidth="1"/>
    <col min="14601" max="14603" width="10.7109375" style="25" customWidth="1"/>
    <col min="14604" max="14604" width="14" style="25" bestFit="1" customWidth="1"/>
    <col min="14605" max="14848" width="9.140625" style="25"/>
    <col min="14849" max="14849" width="9.42578125" style="25" customWidth="1"/>
    <col min="14850" max="14850" width="8.85546875" style="25" customWidth="1"/>
    <col min="14851" max="14851" width="68" style="25" customWidth="1"/>
    <col min="14852" max="14852" width="16.140625" style="25" customWidth="1"/>
    <col min="14853" max="14854" width="14.5703125" style="25" customWidth="1"/>
    <col min="14855" max="14855" width="12.42578125" style="25" customWidth="1"/>
    <col min="14856" max="14856" width="12.7109375" style="25" customWidth="1"/>
    <col min="14857" max="14859" width="10.7109375" style="25" customWidth="1"/>
    <col min="14860" max="14860" width="14" style="25" bestFit="1" customWidth="1"/>
    <col min="14861" max="15104" width="9.140625" style="25"/>
    <col min="15105" max="15105" width="9.42578125" style="25" customWidth="1"/>
    <col min="15106" max="15106" width="8.85546875" style="25" customWidth="1"/>
    <col min="15107" max="15107" width="68" style="25" customWidth="1"/>
    <col min="15108" max="15108" width="16.140625" style="25" customWidth="1"/>
    <col min="15109" max="15110" width="14.5703125" style="25" customWidth="1"/>
    <col min="15111" max="15111" width="12.42578125" style="25" customWidth="1"/>
    <col min="15112" max="15112" width="12.7109375" style="25" customWidth="1"/>
    <col min="15113" max="15115" width="10.7109375" style="25" customWidth="1"/>
    <col min="15116" max="15116" width="14" style="25" bestFit="1" customWidth="1"/>
    <col min="15117" max="15360" width="9.140625" style="25"/>
    <col min="15361" max="15361" width="9.42578125" style="25" customWidth="1"/>
    <col min="15362" max="15362" width="8.85546875" style="25" customWidth="1"/>
    <col min="15363" max="15363" width="68" style="25" customWidth="1"/>
    <col min="15364" max="15364" width="16.140625" style="25" customWidth="1"/>
    <col min="15365" max="15366" width="14.5703125" style="25" customWidth="1"/>
    <col min="15367" max="15367" width="12.42578125" style="25" customWidth="1"/>
    <col min="15368" max="15368" width="12.7109375" style="25" customWidth="1"/>
    <col min="15369" max="15371" width="10.7109375" style="25" customWidth="1"/>
    <col min="15372" max="15372" width="14" style="25" bestFit="1" customWidth="1"/>
    <col min="15373" max="15616" width="9.140625" style="25"/>
    <col min="15617" max="15617" width="9.42578125" style="25" customWidth="1"/>
    <col min="15618" max="15618" width="8.85546875" style="25" customWidth="1"/>
    <col min="15619" max="15619" width="68" style="25" customWidth="1"/>
    <col min="15620" max="15620" width="16.140625" style="25" customWidth="1"/>
    <col min="15621" max="15622" width="14.5703125" style="25" customWidth="1"/>
    <col min="15623" max="15623" width="12.42578125" style="25" customWidth="1"/>
    <col min="15624" max="15624" width="12.7109375" style="25" customWidth="1"/>
    <col min="15625" max="15627" width="10.7109375" style="25" customWidth="1"/>
    <col min="15628" max="15628" width="14" style="25" bestFit="1" customWidth="1"/>
    <col min="15629" max="15872" width="9.140625" style="25"/>
    <col min="15873" max="15873" width="9.42578125" style="25" customWidth="1"/>
    <col min="15874" max="15874" width="8.85546875" style="25" customWidth="1"/>
    <col min="15875" max="15875" width="68" style="25" customWidth="1"/>
    <col min="15876" max="15876" width="16.140625" style="25" customWidth="1"/>
    <col min="15877" max="15878" width="14.5703125" style="25" customWidth="1"/>
    <col min="15879" max="15879" width="12.42578125" style="25" customWidth="1"/>
    <col min="15880" max="15880" width="12.7109375" style="25" customWidth="1"/>
    <col min="15881" max="15883" width="10.7109375" style="25" customWidth="1"/>
    <col min="15884" max="15884" width="14" style="25" bestFit="1" customWidth="1"/>
    <col min="15885" max="16128" width="9.140625" style="25"/>
    <col min="16129" max="16129" width="9.42578125" style="25" customWidth="1"/>
    <col min="16130" max="16130" width="8.85546875" style="25" customWidth="1"/>
    <col min="16131" max="16131" width="68" style="25" customWidth="1"/>
    <col min="16132" max="16132" width="16.140625" style="25" customWidth="1"/>
    <col min="16133" max="16134" width="14.5703125" style="25" customWidth="1"/>
    <col min="16135" max="16135" width="12.42578125" style="25" customWidth="1"/>
    <col min="16136" max="16136" width="12.7109375" style="25" customWidth="1"/>
    <col min="16137" max="16139" width="10.7109375" style="25" customWidth="1"/>
    <col min="16140" max="16140" width="14" style="25" bestFit="1" customWidth="1"/>
    <col min="16141" max="16384" width="9.140625" style="25"/>
  </cols>
  <sheetData>
    <row r="1" spans="1:11" ht="75" customHeight="1" thickBot="1" x14ac:dyDescent="0.25">
      <c r="A1" s="104"/>
      <c r="B1" s="105"/>
      <c r="C1" s="105"/>
      <c r="D1" s="105"/>
      <c r="E1" s="105"/>
      <c r="F1" s="105"/>
      <c r="G1" s="105"/>
      <c r="H1" s="105"/>
      <c r="I1" s="105"/>
      <c r="J1" s="105"/>
      <c r="K1" s="105"/>
    </row>
    <row r="2" spans="1:11" ht="66" customHeight="1" thickBot="1" x14ac:dyDescent="0.25">
      <c r="A2" s="22"/>
      <c r="B2" s="253" t="s">
        <v>214</v>
      </c>
      <c r="C2" s="253"/>
      <c r="D2" s="253"/>
      <c r="E2" s="253"/>
      <c r="F2" s="253"/>
      <c r="G2" s="253"/>
      <c r="H2" s="253"/>
      <c r="I2" s="23"/>
      <c r="J2" s="23"/>
      <c r="K2" s="24"/>
    </row>
    <row r="3" spans="1:11" ht="6" customHeight="1" thickBot="1" x14ac:dyDescent="0.25">
      <c r="A3" s="26"/>
      <c r="B3" s="27"/>
      <c r="C3" s="27"/>
      <c r="D3" s="28"/>
      <c r="E3" s="28"/>
      <c r="F3" s="28"/>
      <c r="G3" s="28"/>
      <c r="H3" s="28"/>
      <c r="I3" s="27"/>
      <c r="J3" s="27"/>
      <c r="K3" s="29"/>
    </row>
    <row r="4" spans="1:11" ht="21" customHeight="1" thickBot="1" x14ac:dyDescent="0.25">
      <c r="A4" s="254" t="s">
        <v>215</v>
      </c>
      <c r="B4" s="255"/>
      <c r="C4" s="255"/>
      <c r="D4" s="255"/>
      <c r="E4" s="255"/>
      <c r="F4" s="255"/>
      <c r="G4" s="255"/>
      <c r="H4" s="255"/>
      <c r="I4" s="255"/>
      <c r="J4" s="255"/>
      <c r="K4" s="256"/>
    </row>
    <row r="5" spans="1:11" ht="20.100000000000001" customHeight="1" x14ac:dyDescent="0.2">
      <c r="A5" s="257" t="s">
        <v>1</v>
      </c>
      <c r="B5" s="258"/>
      <c r="C5" s="259"/>
      <c r="D5" s="30" t="s">
        <v>216</v>
      </c>
      <c r="E5" s="31">
        <f>E29</f>
        <v>174700</v>
      </c>
      <c r="F5" s="32"/>
      <c r="G5" s="32"/>
      <c r="H5" s="33"/>
      <c r="I5" s="260" t="s">
        <v>315</v>
      </c>
      <c r="J5" s="258"/>
      <c r="K5" s="261"/>
    </row>
    <row r="6" spans="1:11" ht="30" customHeight="1" x14ac:dyDescent="0.2">
      <c r="A6" s="262" t="s">
        <v>292</v>
      </c>
      <c r="B6" s="263"/>
      <c r="C6" s="264"/>
      <c r="D6" s="265" t="s">
        <v>233</v>
      </c>
      <c r="E6" s="263"/>
      <c r="F6" s="263"/>
      <c r="G6" s="263"/>
      <c r="H6" s="264"/>
      <c r="I6" s="266" t="s">
        <v>231</v>
      </c>
      <c r="J6" s="267"/>
      <c r="K6" s="268"/>
    </row>
    <row r="7" spans="1:11" ht="25.5" x14ac:dyDescent="0.2">
      <c r="A7" s="34" t="s">
        <v>5</v>
      </c>
      <c r="B7" s="35" t="s">
        <v>6</v>
      </c>
      <c r="C7" s="35" t="s">
        <v>217</v>
      </c>
      <c r="D7" s="36" t="s">
        <v>218</v>
      </c>
      <c r="E7" s="36" t="s">
        <v>219</v>
      </c>
      <c r="F7" s="35" t="s">
        <v>220</v>
      </c>
      <c r="G7" s="35" t="s">
        <v>221</v>
      </c>
      <c r="H7" s="35" t="s">
        <v>222</v>
      </c>
      <c r="I7" s="35" t="s">
        <v>223</v>
      </c>
      <c r="J7" s="35" t="s">
        <v>224</v>
      </c>
      <c r="K7" s="37" t="s">
        <v>225</v>
      </c>
    </row>
    <row r="8" spans="1:11" ht="15" customHeight="1" x14ac:dyDescent="0.2">
      <c r="A8" s="269">
        <v>1</v>
      </c>
      <c r="B8" s="271"/>
      <c r="C8" s="273" t="s">
        <v>14</v>
      </c>
      <c r="D8" s="38" t="s">
        <v>226</v>
      </c>
      <c r="E8" s="39">
        <f>E9/$E$29</f>
        <v>7.6381224957069267E-3</v>
      </c>
      <c r="F8" s="40">
        <v>1</v>
      </c>
      <c r="G8" s="40"/>
      <c r="H8" s="40"/>
      <c r="I8" s="40"/>
      <c r="J8" s="41"/>
      <c r="K8" s="42"/>
    </row>
    <row r="9" spans="1:11" ht="15" customHeight="1" x14ac:dyDescent="0.2">
      <c r="A9" s="270"/>
      <c r="B9" s="272"/>
      <c r="C9" s="274"/>
      <c r="D9" s="38" t="s">
        <v>227</v>
      </c>
      <c r="E9" s="43">
        <f>'planilha principal'!H12</f>
        <v>1334.38</v>
      </c>
      <c r="F9" s="43">
        <f t="shared" ref="F9:K9" si="0">F8*$E$9</f>
        <v>1334.38</v>
      </c>
      <c r="G9" s="43">
        <f t="shared" si="0"/>
        <v>0</v>
      </c>
      <c r="H9" s="43">
        <f t="shared" si="0"/>
        <v>0</v>
      </c>
      <c r="I9" s="43">
        <f t="shared" si="0"/>
        <v>0</v>
      </c>
      <c r="J9" s="43">
        <f t="shared" si="0"/>
        <v>0</v>
      </c>
      <c r="K9" s="44">
        <f t="shared" si="0"/>
        <v>0</v>
      </c>
    </row>
    <row r="10" spans="1:11" ht="15" customHeight="1" x14ac:dyDescent="0.2">
      <c r="A10" s="269">
        <v>2</v>
      </c>
      <c r="B10" s="275"/>
      <c r="C10" s="277" t="s">
        <v>28</v>
      </c>
      <c r="D10" s="38" t="s">
        <v>226</v>
      </c>
      <c r="E10" s="39">
        <f>E11/$E$29</f>
        <v>0.13611030337721811</v>
      </c>
      <c r="F10" s="45">
        <v>1</v>
      </c>
      <c r="G10" s="40"/>
      <c r="H10" s="40"/>
      <c r="I10" s="40"/>
      <c r="J10" s="45"/>
      <c r="K10" s="42"/>
    </row>
    <row r="11" spans="1:11" ht="15" customHeight="1" x14ac:dyDescent="0.2">
      <c r="A11" s="270"/>
      <c r="B11" s="276"/>
      <c r="C11" s="278"/>
      <c r="D11" s="38" t="s">
        <v>227</v>
      </c>
      <c r="E11" s="43">
        <f>'planilha principal'!H14</f>
        <v>23778.47</v>
      </c>
      <c r="F11" s="43">
        <f t="shared" ref="F11:K11" si="1">F10*$E$11</f>
        <v>23778.47</v>
      </c>
      <c r="G11" s="43">
        <f t="shared" si="1"/>
        <v>0</v>
      </c>
      <c r="H11" s="43">
        <f t="shared" si="1"/>
        <v>0</v>
      </c>
      <c r="I11" s="43">
        <f t="shared" si="1"/>
        <v>0</v>
      </c>
      <c r="J11" s="43">
        <f t="shared" si="1"/>
        <v>0</v>
      </c>
      <c r="K11" s="44">
        <f t="shared" si="1"/>
        <v>0</v>
      </c>
    </row>
    <row r="12" spans="1:11" ht="15" customHeight="1" x14ac:dyDescent="0.2">
      <c r="A12" s="269">
        <v>3</v>
      </c>
      <c r="B12" s="275"/>
      <c r="C12" s="273" t="s">
        <v>40</v>
      </c>
      <c r="D12" s="38" t="s">
        <v>226</v>
      </c>
      <c r="E12" s="39">
        <f>E13/$E$29</f>
        <v>9.1013050944476245E-2</v>
      </c>
      <c r="F12" s="45">
        <v>0.5</v>
      </c>
      <c r="G12" s="40">
        <v>0.5</v>
      </c>
      <c r="H12" s="40"/>
      <c r="I12" s="40"/>
      <c r="J12" s="45"/>
      <c r="K12" s="42"/>
    </row>
    <row r="13" spans="1:11" ht="15" customHeight="1" x14ac:dyDescent="0.2">
      <c r="A13" s="270"/>
      <c r="B13" s="276"/>
      <c r="C13" s="274"/>
      <c r="D13" s="38" t="s">
        <v>227</v>
      </c>
      <c r="E13" s="43">
        <f>'planilha principal'!H20</f>
        <v>15899.98</v>
      </c>
      <c r="F13" s="43">
        <f t="shared" ref="F13:K13" si="2">F12*$E$13</f>
        <v>7949.99</v>
      </c>
      <c r="G13" s="43">
        <f t="shared" si="2"/>
        <v>7949.99</v>
      </c>
      <c r="H13" s="43">
        <f t="shared" si="2"/>
        <v>0</v>
      </c>
      <c r="I13" s="43">
        <f t="shared" si="2"/>
        <v>0</v>
      </c>
      <c r="J13" s="43">
        <f t="shared" si="2"/>
        <v>0</v>
      </c>
      <c r="K13" s="44">
        <f t="shared" si="2"/>
        <v>0</v>
      </c>
    </row>
    <row r="14" spans="1:11" ht="15" customHeight="1" x14ac:dyDescent="0.2">
      <c r="A14" s="269">
        <v>4</v>
      </c>
      <c r="B14" s="275"/>
      <c r="C14" s="273" t="s">
        <v>56</v>
      </c>
      <c r="D14" s="38" t="s">
        <v>226</v>
      </c>
      <c r="E14" s="39">
        <f>E15/$E$29</f>
        <v>7.5216428162564394E-2</v>
      </c>
      <c r="F14" s="45">
        <v>0.5</v>
      </c>
      <c r="G14" s="40">
        <v>0.5</v>
      </c>
      <c r="H14" s="40"/>
      <c r="I14" s="40"/>
      <c r="J14" s="45"/>
      <c r="K14" s="42"/>
    </row>
    <row r="15" spans="1:11" ht="15" customHeight="1" x14ac:dyDescent="0.2">
      <c r="A15" s="270"/>
      <c r="B15" s="276"/>
      <c r="C15" s="274"/>
      <c r="D15" s="38" t="s">
        <v>227</v>
      </c>
      <c r="E15" s="43">
        <f>'planilha principal'!H27</f>
        <v>13140.31</v>
      </c>
      <c r="F15" s="43">
        <f t="shared" ref="F15:K15" si="3">F14*$E$15</f>
        <v>6570.1549999999997</v>
      </c>
      <c r="G15" s="43">
        <f t="shared" si="3"/>
        <v>6570.1549999999997</v>
      </c>
      <c r="H15" s="43">
        <f t="shared" si="3"/>
        <v>0</v>
      </c>
      <c r="I15" s="43">
        <f t="shared" si="3"/>
        <v>0</v>
      </c>
      <c r="J15" s="43">
        <f t="shared" si="3"/>
        <v>0</v>
      </c>
      <c r="K15" s="44">
        <f t="shared" si="3"/>
        <v>0</v>
      </c>
    </row>
    <row r="16" spans="1:11" ht="15" customHeight="1" x14ac:dyDescent="0.2">
      <c r="A16" s="269">
        <v>5</v>
      </c>
      <c r="B16" s="275"/>
      <c r="C16" s="273" t="s">
        <v>93</v>
      </c>
      <c r="D16" s="38" t="s">
        <v>226</v>
      </c>
      <c r="E16" s="39">
        <f>E17/$E$29</f>
        <v>0.17533880938752147</v>
      </c>
      <c r="F16" s="45">
        <v>0.5</v>
      </c>
      <c r="G16" s="40">
        <v>0.5</v>
      </c>
      <c r="H16" s="40"/>
      <c r="I16" s="40"/>
      <c r="J16" s="45"/>
      <c r="K16" s="46"/>
    </row>
    <row r="17" spans="1:13" ht="15" customHeight="1" x14ac:dyDescent="0.2">
      <c r="A17" s="270"/>
      <c r="B17" s="276"/>
      <c r="C17" s="274"/>
      <c r="D17" s="38" t="s">
        <v>227</v>
      </c>
      <c r="E17" s="43">
        <f>'planilha principal'!H42</f>
        <v>30631.690000000002</v>
      </c>
      <c r="F17" s="43">
        <f t="shared" ref="F17:K17" si="4">F16*$E$17</f>
        <v>15315.845000000001</v>
      </c>
      <c r="G17" s="43">
        <f t="shared" si="4"/>
        <v>15315.845000000001</v>
      </c>
      <c r="H17" s="43">
        <f t="shared" si="4"/>
        <v>0</v>
      </c>
      <c r="I17" s="43">
        <f t="shared" si="4"/>
        <v>0</v>
      </c>
      <c r="J17" s="43">
        <f t="shared" si="4"/>
        <v>0</v>
      </c>
      <c r="K17" s="44">
        <f t="shared" si="4"/>
        <v>0</v>
      </c>
    </row>
    <row r="18" spans="1:13" ht="15" customHeight="1" x14ac:dyDescent="0.2">
      <c r="A18" s="269">
        <v>6</v>
      </c>
      <c r="B18" s="271"/>
      <c r="C18" s="273" t="s">
        <v>107</v>
      </c>
      <c r="D18" s="38" t="s">
        <v>226</v>
      </c>
      <c r="E18" s="39">
        <f>E19/$E$29</f>
        <v>9.0011963365769887E-2</v>
      </c>
      <c r="F18" s="40"/>
      <c r="G18" s="40">
        <v>0.8</v>
      </c>
      <c r="H18" s="40">
        <v>0.2</v>
      </c>
      <c r="I18" s="40"/>
      <c r="J18" s="41"/>
      <c r="K18" s="42"/>
    </row>
    <row r="19" spans="1:13" ht="15" customHeight="1" x14ac:dyDescent="0.2">
      <c r="A19" s="270"/>
      <c r="B19" s="272"/>
      <c r="C19" s="274"/>
      <c r="D19" s="38" t="s">
        <v>227</v>
      </c>
      <c r="E19" s="43">
        <f>'planilha principal'!H48</f>
        <v>15725.089999999998</v>
      </c>
      <c r="F19" s="43">
        <f t="shared" ref="F19:K19" si="5">F18*$E$19</f>
        <v>0</v>
      </c>
      <c r="G19" s="43">
        <f t="shared" si="5"/>
        <v>12580.072</v>
      </c>
      <c r="H19" s="43">
        <f t="shared" si="5"/>
        <v>3145.018</v>
      </c>
      <c r="I19" s="43">
        <f t="shared" si="5"/>
        <v>0</v>
      </c>
      <c r="J19" s="43">
        <f t="shared" si="5"/>
        <v>0</v>
      </c>
      <c r="K19" s="44">
        <f t="shared" si="5"/>
        <v>0</v>
      </c>
    </row>
    <row r="20" spans="1:13" ht="15" customHeight="1" x14ac:dyDescent="0.2">
      <c r="A20" s="269">
        <v>7</v>
      </c>
      <c r="B20" s="275"/>
      <c r="C20" s="277" t="s">
        <v>127</v>
      </c>
      <c r="D20" s="38" t="s">
        <v>226</v>
      </c>
      <c r="E20" s="39">
        <f>E21/$E$29</f>
        <v>0.33554321694333145</v>
      </c>
      <c r="F20" s="45"/>
      <c r="G20" s="40">
        <v>0.3</v>
      </c>
      <c r="H20" s="40">
        <v>0.7</v>
      </c>
      <c r="I20" s="40"/>
      <c r="J20" s="45"/>
      <c r="K20" s="42"/>
    </row>
    <row r="21" spans="1:13" ht="15" customHeight="1" x14ac:dyDescent="0.2">
      <c r="A21" s="270"/>
      <c r="B21" s="276"/>
      <c r="C21" s="278"/>
      <c r="D21" s="38" t="s">
        <v>227</v>
      </c>
      <c r="E21" s="43">
        <f>'planilha principal'!H56</f>
        <v>58619.4</v>
      </c>
      <c r="F21" s="43">
        <f>F20*$E$21</f>
        <v>0</v>
      </c>
      <c r="G21" s="43">
        <f t="shared" ref="G21:K21" si="6">G20*$E$21</f>
        <v>17585.82</v>
      </c>
      <c r="H21" s="43">
        <f t="shared" si="6"/>
        <v>41033.58</v>
      </c>
      <c r="I21" s="43">
        <f t="shared" si="6"/>
        <v>0</v>
      </c>
      <c r="J21" s="43">
        <f t="shared" si="6"/>
        <v>0</v>
      </c>
      <c r="K21" s="43">
        <f t="shared" si="6"/>
        <v>0</v>
      </c>
    </row>
    <row r="22" spans="1:13" ht="15" customHeight="1" x14ac:dyDescent="0.2">
      <c r="A22" s="269">
        <v>8</v>
      </c>
      <c r="B22" s="275"/>
      <c r="C22" s="273" t="s">
        <v>139</v>
      </c>
      <c r="D22" s="38" t="s">
        <v>226</v>
      </c>
      <c r="E22" s="39">
        <f>E23/$E$29</f>
        <v>2.0566113337149396E-2</v>
      </c>
      <c r="F22" s="45"/>
      <c r="G22" s="40">
        <v>0.5</v>
      </c>
      <c r="H22" s="40">
        <v>0.5</v>
      </c>
      <c r="I22" s="40"/>
      <c r="J22" s="45"/>
      <c r="K22" s="42"/>
    </row>
    <row r="23" spans="1:13" ht="15" customHeight="1" x14ac:dyDescent="0.2">
      <c r="A23" s="270"/>
      <c r="B23" s="276"/>
      <c r="C23" s="274"/>
      <c r="D23" s="38" t="s">
        <v>227</v>
      </c>
      <c r="E23" s="43">
        <f>'planilha principal'!H62</f>
        <v>3592.8999999999992</v>
      </c>
      <c r="F23" s="43">
        <f>F22*$E$23</f>
        <v>0</v>
      </c>
      <c r="G23" s="43">
        <f t="shared" ref="G23:K23" si="7">G22*$E$23</f>
        <v>1796.4499999999996</v>
      </c>
      <c r="H23" s="43">
        <f t="shared" si="7"/>
        <v>1796.4499999999996</v>
      </c>
      <c r="I23" s="43">
        <f t="shared" si="7"/>
        <v>0</v>
      </c>
      <c r="J23" s="43">
        <f t="shared" si="7"/>
        <v>0</v>
      </c>
      <c r="K23" s="43">
        <f t="shared" si="7"/>
        <v>0</v>
      </c>
    </row>
    <row r="24" spans="1:13" ht="15" customHeight="1" x14ac:dyDescent="0.2">
      <c r="A24" s="269">
        <v>9</v>
      </c>
      <c r="B24" s="275"/>
      <c r="C24" s="273" t="s">
        <v>163</v>
      </c>
      <c r="D24" s="38" t="s">
        <v>226</v>
      </c>
      <c r="E24" s="39">
        <f>E25/$E$29</f>
        <v>4.2989009730967372E-2</v>
      </c>
      <c r="F24" s="45"/>
      <c r="G24" s="40">
        <v>0.5</v>
      </c>
      <c r="H24" s="40">
        <v>0.5</v>
      </c>
      <c r="I24" s="40"/>
      <c r="J24" s="45"/>
      <c r="K24" s="42"/>
    </row>
    <row r="25" spans="1:13" ht="15" customHeight="1" x14ac:dyDescent="0.2">
      <c r="A25" s="270"/>
      <c r="B25" s="276"/>
      <c r="C25" s="274"/>
      <c r="D25" s="38" t="s">
        <v>227</v>
      </c>
      <c r="E25" s="43">
        <f>'planilha principal'!H71</f>
        <v>7510.18</v>
      </c>
      <c r="F25" s="43">
        <f>F24*$E$25</f>
        <v>0</v>
      </c>
      <c r="G25" s="43">
        <f t="shared" ref="G25:K25" si="8">G24*$E$25</f>
        <v>3755.09</v>
      </c>
      <c r="H25" s="43">
        <f t="shared" si="8"/>
        <v>3755.09</v>
      </c>
      <c r="I25" s="43">
        <f t="shared" si="8"/>
        <v>0</v>
      </c>
      <c r="J25" s="43">
        <f t="shared" si="8"/>
        <v>0</v>
      </c>
      <c r="K25" s="43">
        <f t="shared" si="8"/>
        <v>0</v>
      </c>
    </row>
    <row r="26" spans="1:13" ht="15" customHeight="1" x14ac:dyDescent="0.2">
      <c r="A26" s="269">
        <v>10</v>
      </c>
      <c r="B26" s="275"/>
      <c r="C26" s="273" t="s">
        <v>183</v>
      </c>
      <c r="D26" s="38" t="s">
        <v>226</v>
      </c>
      <c r="E26" s="39">
        <f>E27/$E$29</f>
        <v>2.5572982255294793E-2</v>
      </c>
      <c r="F26" s="45"/>
      <c r="G26" s="40"/>
      <c r="H26" s="40">
        <v>1</v>
      </c>
      <c r="I26" s="40"/>
      <c r="J26" s="45"/>
      <c r="K26" s="46"/>
    </row>
    <row r="27" spans="1:13" ht="15" customHeight="1" x14ac:dyDescent="0.2">
      <c r="A27" s="270"/>
      <c r="B27" s="276"/>
      <c r="C27" s="274"/>
      <c r="D27" s="38" t="s">
        <v>227</v>
      </c>
      <c r="E27" s="43">
        <f>'planilha principal'!H78</f>
        <v>4467.6000000000004</v>
      </c>
      <c r="F27" s="43">
        <f>F26*$E$27</f>
        <v>0</v>
      </c>
      <c r="G27" s="43">
        <f t="shared" ref="G27:K27" si="9">G26*$E$27</f>
        <v>0</v>
      </c>
      <c r="H27" s="43">
        <f t="shared" si="9"/>
        <v>4467.6000000000004</v>
      </c>
      <c r="I27" s="43">
        <f t="shared" si="9"/>
        <v>0</v>
      </c>
      <c r="J27" s="43">
        <f t="shared" si="9"/>
        <v>0</v>
      </c>
      <c r="K27" s="43">
        <f t="shared" si="9"/>
        <v>0</v>
      </c>
    </row>
    <row r="28" spans="1:13" ht="15" customHeight="1" x14ac:dyDescent="0.2">
      <c r="A28" s="279" t="s">
        <v>13</v>
      </c>
      <c r="B28" s="280"/>
      <c r="C28" s="281"/>
      <c r="D28" s="47" t="s">
        <v>226</v>
      </c>
      <c r="E28" s="39">
        <f>(E8+E10+E12+E14+E16)</f>
        <v>0.48531671436748713</v>
      </c>
      <c r="F28" s="45">
        <f t="shared" ref="F28:K28" si="10">F29/$E$29</f>
        <v>0.31453257012020608</v>
      </c>
      <c r="G28" s="45">
        <f t="shared" si="10"/>
        <v>0.37523424155695484</v>
      </c>
      <c r="H28" s="45">
        <f t="shared" si="10"/>
        <v>0.31023318832283908</v>
      </c>
      <c r="I28" s="45">
        <f t="shared" si="10"/>
        <v>0</v>
      </c>
      <c r="J28" s="45">
        <f t="shared" si="10"/>
        <v>0</v>
      </c>
      <c r="K28" s="46">
        <f t="shared" si="10"/>
        <v>0</v>
      </c>
      <c r="L28" s="48">
        <f>SUM(F28:K28)</f>
        <v>1</v>
      </c>
    </row>
    <row r="29" spans="1:13" ht="15" customHeight="1" x14ac:dyDescent="0.2">
      <c r="A29" s="282"/>
      <c r="B29" s="283"/>
      <c r="C29" s="284"/>
      <c r="D29" s="47" t="s">
        <v>227</v>
      </c>
      <c r="E29" s="49">
        <f>E9+E11+E13+E15+E17+E19+E21+E23+E25+E27</f>
        <v>174700</v>
      </c>
      <c r="F29" s="49">
        <f>F9+F11+F13+F15+F17+F19+F21+F23+F25+F27</f>
        <v>54948.840000000004</v>
      </c>
      <c r="G29" s="49">
        <f>G9+G11+G13+G15+G17+G19+G21+G23+G25+G27</f>
        <v>65553.422000000006</v>
      </c>
      <c r="H29" s="49">
        <f t="shared" ref="H29:K29" si="11">H9+H11+H13+H15+H17+H19+H21+H23+H25+H27</f>
        <v>54197.73799999999</v>
      </c>
      <c r="I29" s="49">
        <f t="shared" si="11"/>
        <v>0</v>
      </c>
      <c r="J29" s="49">
        <f t="shared" si="11"/>
        <v>0</v>
      </c>
      <c r="K29" s="49">
        <f t="shared" si="11"/>
        <v>0</v>
      </c>
      <c r="L29" s="50">
        <f>SUM(F29:K29)</f>
        <v>174700</v>
      </c>
    </row>
    <row r="30" spans="1:13" ht="13.5" thickBot="1" x14ac:dyDescent="0.25">
      <c r="A30" s="51"/>
      <c r="B30" s="52"/>
      <c r="C30" s="52"/>
      <c r="D30" s="53"/>
      <c r="E30" s="53"/>
      <c r="F30" s="52"/>
      <c r="G30" s="52"/>
      <c r="H30" s="52"/>
      <c r="I30" s="52"/>
      <c r="J30" s="52"/>
      <c r="K30" s="54"/>
    </row>
    <row r="31" spans="1:13" x14ac:dyDescent="0.2">
      <c r="A31" s="55"/>
      <c r="B31" s="56"/>
      <c r="C31" s="56"/>
      <c r="D31" s="56"/>
      <c r="E31" s="56"/>
      <c r="F31" s="56"/>
      <c r="G31" s="57"/>
      <c r="H31" s="58"/>
      <c r="I31" s="59"/>
      <c r="J31" s="59"/>
      <c r="K31" s="60"/>
      <c r="M31" s="25" t="s">
        <v>228</v>
      </c>
    </row>
    <row r="32" spans="1:13" x14ac:dyDescent="0.2">
      <c r="A32" s="61"/>
      <c r="B32" s="62"/>
      <c r="C32" s="62"/>
      <c r="D32" s="62"/>
      <c r="E32" s="62"/>
      <c r="F32" s="62"/>
      <c r="G32" s="63"/>
      <c r="H32" s="64"/>
      <c r="I32" s="65"/>
      <c r="J32" s="65"/>
      <c r="K32" s="66"/>
    </row>
    <row r="33" spans="1:11" x14ac:dyDescent="0.2">
      <c r="A33" s="61"/>
      <c r="B33" s="67"/>
      <c r="C33" s="68"/>
      <c r="D33" s="285"/>
      <c r="E33" s="285"/>
      <c r="F33" s="285"/>
      <c r="G33" s="69"/>
      <c r="H33" s="70"/>
      <c r="I33" s="65"/>
      <c r="J33" s="65"/>
      <c r="K33" s="66"/>
    </row>
    <row r="34" spans="1:11" ht="12.75" customHeight="1" x14ac:dyDescent="0.2">
      <c r="A34" s="71"/>
      <c r="B34" s="72"/>
      <c r="C34" s="68" t="s">
        <v>230</v>
      </c>
      <c r="D34" s="285"/>
      <c r="E34" s="285"/>
      <c r="F34" s="285"/>
      <c r="G34" s="69"/>
      <c r="H34" s="64"/>
      <c r="I34" s="65"/>
      <c r="J34" s="65"/>
      <c r="K34" s="66"/>
    </row>
    <row r="35" spans="1:11" ht="14.25" customHeight="1" x14ac:dyDescent="0.2">
      <c r="A35" s="73"/>
      <c r="B35" s="65"/>
      <c r="C35" s="74" t="s">
        <v>316</v>
      </c>
      <c r="D35" s="286"/>
      <c r="E35" s="286"/>
      <c r="F35" s="286"/>
      <c r="G35" s="75"/>
      <c r="H35" s="64"/>
      <c r="I35" s="65"/>
      <c r="J35" s="65"/>
      <c r="K35" s="66"/>
    </row>
    <row r="36" spans="1:11" ht="14.25" customHeight="1" x14ac:dyDescent="0.2">
      <c r="A36" s="71"/>
      <c r="B36" s="72"/>
      <c r="C36" s="76" t="s">
        <v>317</v>
      </c>
      <c r="D36" s="286"/>
      <c r="E36" s="286"/>
      <c r="F36" s="286"/>
      <c r="G36" s="75"/>
      <c r="H36" s="64"/>
      <c r="I36" s="65"/>
      <c r="J36" s="65"/>
      <c r="K36" s="66"/>
    </row>
    <row r="37" spans="1:11" ht="13.5" thickBot="1" x14ac:dyDescent="0.25">
      <c r="A37" s="77"/>
      <c r="B37" s="287"/>
      <c r="C37" s="287"/>
      <c r="D37" s="78"/>
      <c r="E37" s="78"/>
      <c r="F37" s="79"/>
      <c r="G37" s="80"/>
      <c r="H37" s="81"/>
      <c r="I37" s="79"/>
      <c r="J37" s="79"/>
      <c r="K37" s="82"/>
    </row>
  </sheetData>
  <mergeCells count="43">
    <mergeCell ref="D35:F35"/>
    <mergeCell ref="D36:F36"/>
    <mergeCell ref="B37:C37"/>
    <mergeCell ref="A18:A19"/>
    <mergeCell ref="B18:B19"/>
    <mergeCell ref="C18:C19"/>
    <mergeCell ref="A20:A21"/>
    <mergeCell ref="B20:B21"/>
    <mergeCell ref="C20:C21"/>
    <mergeCell ref="D34:F34"/>
    <mergeCell ref="B24:B25"/>
    <mergeCell ref="C24:C25"/>
    <mergeCell ref="A26:A27"/>
    <mergeCell ref="B26:B27"/>
    <mergeCell ref="C26:C27"/>
    <mergeCell ref="A16:A17"/>
    <mergeCell ref="B16:B17"/>
    <mergeCell ref="C16:C17"/>
    <mergeCell ref="A28:C29"/>
    <mergeCell ref="D33:F33"/>
    <mergeCell ref="A22:A23"/>
    <mergeCell ref="B22:B23"/>
    <mergeCell ref="C22:C23"/>
    <mergeCell ref="A24:A25"/>
    <mergeCell ref="A12:A13"/>
    <mergeCell ref="B12:B13"/>
    <mergeCell ref="C12:C13"/>
    <mergeCell ref="A14:A15"/>
    <mergeCell ref="B14:B15"/>
    <mergeCell ref="C14:C15"/>
    <mergeCell ref="A8:A9"/>
    <mergeCell ref="B8:B9"/>
    <mergeCell ref="C8:C9"/>
    <mergeCell ref="A10:A11"/>
    <mergeCell ref="B10:B11"/>
    <mergeCell ref="C10:C11"/>
    <mergeCell ref="B2:H2"/>
    <mergeCell ref="A4:K4"/>
    <mergeCell ref="A5:C5"/>
    <mergeCell ref="I5:K5"/>
    <mergeCell ref="A6:C6"/>
    <mergeCell ref="D6:H6"/>
    <mergeCell ref="I6:K6"/>
  </mergeCells>
  <pageMargins left="0.51181102362204722" right="0.51181102362204722" top="0.78740157480314965" bottom="0.78740157480314965" header="0.31496062992125984" footer="0.31496062992125984"/>
  <pageSetup paperSize="9" scale="70" orientation="landscape" r:id="rId1"/>
  <headerFooter>
    <oddFooter>&amp;CAv. Irmã Tosta - Maria José Tosta, 61 - Esplanada - Pouso Alegre/MG    l    CNPJ  23.896.707 / 0001-23   l     Tel : (35) 99908.9053</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1"/>
  <sheetViews>
    <sheetView topLeftCell="A70" workbookViewId="0">
      <selection activeCell="B12" sqref="B12"/>
    </sheetView>
  </sheetViews>
  <sheetFormatPr defaultRowHeight="15" x14ac:dyDescent="0.25"/>
  <cols>
    <col min="1" max="1" width="6.5703125" customWidth="1"/>
    <col min="2" max="2" width="68.28515625" customWidth="1"/>
    <col min="3" max="3" width="6.5703125" customWidth="1"/>
    <col min="4" max="4" width="13" customWidth="1"/>
    <col min="5" max="5" width="12.140625" customWidth="1"/>
    <col min="6" max="6" width="12.28515625" customWidth="1"/>
    <col min="7" max="7" width="14.28515625" customWidth="1"/>
  </cols>
  <sheetData>
    <row r="1" spans="1:7" ht="39.950000000000003" customHeight="1" x14ac:dyDescent="0.25">
      <c r="A1" s="300" t="s">
        <v>234</v>
      </c>
      <c r="B1" s="301"/>
      <c r="C1" s="301"/>
      <c r="D1" s="301"/>
      <c r="E1" s="301"/>
      <c r="F1" s="301"/>
      <c r="G1" s="301"/>
    </row>
    <row r="2" spans="1:7" x14ac:dyDescent="0.25">
      <c r="A2" s="302" t="s">
        <v>235</v>
      </c>
      <c r="B2" s="302"/>
      <c r="C2" s="302"/>
      <c r="D2" s="302"/>
      <c r="E2" s="302"/>
      <c r="F2" s="302"/>
      <c r="G2" s="302"/>
    </row>
    <row r="3" spans="1:7" x14ac:dyDescent="0.25">
      <c r="A3" s="303" t="s">
        <v>1</v>
      </c>
      <c r="B3" s="303"/>
      <c r="C3" s="303"/>
      <c r="D3" s="303"/>
      <c r="E3" s="303"/>
      <c r="F3" s="303"/>
      <c r="G3" s="303"/>
    </row>
    <row r="4" spans="1:7" x14ac:dyDescent="0.25">
      <c r="A4" s="304" t="s">
        <v>292</v>
      </c>
      <c r="B4" s="304"/>
      <c r="C4" s="304"/>
      <c r="D4" s="304"/>
      <c r="E4" s="304"/>
      <c r="F4" s="304"/>
      <c r="G4" s="304"/>
    </row>
    <row r="5" spans="1:7" x14ac:dyDescent="0.25">
      <c r="A5" s="305" t="s">
        <v>213</v>
      </c>
      <c r="B5" s="305"/>
      <c r="C5" s="305"/>
      <c r="D5" s="305"/>
      <c r="E5" s="305"/>
      <c r="F5" s="305"/>
      <c r="G5" s="305"/>
    </row>
    <row r="6" spans="1:7" x14ac:dyDescent="0.25">
      <c r="A6" s="1" t="s">
        <v>232</v>
      </c>
      <c r="B6" s="21"/>
      <c r="C6" s="2"/>
      <c r="D6" s="3"/>
      <c r="E6" s="4"/>
      <c r="F6" s="5"/>
      <c r="G6" s="6" t="s">
        <v>3</v>
      </c>
    </row>
    <row r="7" spans="1:7" ht="10.5" customHeight="1" x14ac:dyDescent="0.25">
      <c r="A7" s="291"/>
      <c r="B7" s="292"/>
      <c r="C7" s="292"/>
      <c r="D7" s="292"/>
      <c r="E7" s="292"/>
      <c r="F7" s="292"/>
      <c r="G7" s="293"/>
    </row>
    <row r="8" spans="1:7" x14ac:dyDescent="0.25">
      <c r="A8" s="84" t="s">
        <v>5</v>
      </c>
      <c r="B8" s="85" t="s">
        <v>7</v>
      </c>
      <c r="C8" s="294" t="s">
        <v>236</v>
      </c>
      <c r="D8" s="295"/>
      <c r="E8" s="295"/>
      <c r="F8" s="295"/>
      <c r="G8" s="296"/>
    </row>
    <row r="9" spans="1:7" x14ac:dyDescent="0.25">
      <c r="A9" s="13">
        <v>1</v>
      </c>
      <c r="B9" s="8" t="str">
        <f>'planilha principal'!C12</f>
        <v>SERVIÇOS PRELIMINARES</v>
      </c>
      <c r="C9" s="9"/>
      <c r="D9" s="10"/>
      <c r="E9" s="14"/>
      <c r="F9" s="11"/>
      <c r="G9" s="12"/>
    </row>
    <row r="10" spans="1:7" ht="72" customHeight="1" x14ac:dyDescent="0.25">
      <c r="A10" s="15" t="s">
        <v>15</v>
      </c>
      <c r="B10" s="16" t="str">
        <f>'planilha principal'!C13</f>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
      <c r="C10" s="297" t="s">
        <v>237</v>
      </c>
      <c r="D10" s="298"/>
      <c r="E10" s="298"/>
      <c r="F10" s="298"/>
      <c r="G10" s="299"/>
    </row>
    <row r="11" spans="1:7" ht="18.75" customHeight="1" x14ac:dyDescent="0.25">
      <c r="A11" s="13">
        <v>2</v>
      </c>
      <c r="B11" s="86" t="str">
        <f>'planilha principal'!C14</f>
        <v>VEDAÇÃO</v>
      </c>
      <c r="C11" s="9"/>
      <c r="D11" s="10"/>
      <c r="E11" s="14"/>
      <c r="F11" s="11"/>
      <c r="G11" s="12"/>
    </row>
    <row r="12" spans="1:7" ht="68.25" customHeight="1" x14ac:dyDescent="0.25">
      <c r="A12" s="7" t="s">
        <v>20</v>
      </c>
      <c r="B12" s="18" t="str">
        <f>'planilha principal'!C15</f>
        <v>DEMOLIÇÃO MANUAL DE CONSTRUÇÃO EM
ALVENARIAS DE VEDAÇÃO, COM ESPESSURA MÁXIMA DE 15CM,
INCLUSIVE REMOÇÃO COM REAPROVEITAMENTO DE ESQUADRIAS,
AFASTAMENTO E EMPILHAMENTO, EXCLUSIVE TRANSPORTE E
RETIRADA DO MATERIAL DEMOLIDO/REMOVIDO NÃO
REAPROVEITÁVEL</v>
      </c>
      <c r="C12" s="288" t="s">
        <v>294</v>
      </c>
      <c r="D12" s="289"/>
      <c r="E12" s="289"/>
      <c r="F12" s="289"/>
      <c r="G12" s="290"/>
    </row>
    <row r="13" spans="1:7" ht="51.75" customHeight="1" x14ac:dyDescent="0.25">
      <c r="A13" s="7" t="s">
        <v>21</v>
      </c>
      <c r="B13" s="18" t="str">
        <f>'planilha principal'!C16</f>
        <v>DEMOLIÇÃO MANUAL DE REBOCO OU EMBOÇO,
COM ESPESSURA DE ATÉ 55MM, INCLUSIVE AFASTAMENTO E
EMPILHAMENTO, EXCLUSIVE TRANSPORTE E RETIRADA DO
MATERIAL DEMOLIDO</v>
      </c>
      <c r="C13" s="288" t="s">
        <v>296</v>
      </c>
      <c r="D13" s="289"/>
      <c r="E13" s="289"/>
      <c r="F13" s="289"/>
      <c r="G13" s="290"/>
    </row>
    <row r="14" spans="1:7" ht="41.25" customHeight="1" x14ac:dyDescent="0.25">
      <c r="A14" s="7" t="s">
        <v>22</v>
      </c>
      <c r="B14" s="18" t="str">
        <f>'planilha principal'!C17</f>
        <v>ALVENARIA DE VEDAÇÃO COM BLOCO DE CONCRETO, ESP. 14CM,
PARA REVESTIMENTO, INCLUSIVE ARGAMASSA PARA
ASSENTAMENTO</v>
      </c>
      <c r="C14" s="288" t="s">
        <v>295</v>
      </c>
      <c r="D14" s="289"/>
      <c r="E14" s="289"/>
      <c r="F14" s="289"/>
      <c r="G14" s="290"/>
    </row>
    <row r="15" spans="1:7" ht="45.75" customHeight="1" x14ac:dyDescent="0.25">
      <c r="A15" s="7" t="s">
        <v>23</v>
      </c>
      <c r="B15" s="18" t="str">
        <f>'planilha principal'!C18</f>
        <v>CINTA DE AMARRAÇÃO DE ALVENARIA COM BLOCO DE
CONCRETO ESTRUTURAL, CANALETA TIPO "U", ESP. 14CM, (FBK 4,
5MPA), PARA REVESTIMENTO, INCLUSIVE ARGAMASSA PARA
ASSENTAMENTO, EXCLUSIVE GRAUTE E ARMAÇÃO</v>
      </c>
      <c r="C15" s="288" t="s">
        <v>238</v>
      </c>
      <c r="D15" s="289"/>
      <c r="E15" s="289"/>
      <c r="F15" s="289"/>
      <c r="G15" s="290"/>
    </row>
    <row r="16" spans="1:7" ht="43.5" customHeight="1" x14ac:dyDescent="0.25">
      <c r="A16" s="7" t="s">
        <v>27</v>
      </c>
      <c r="B16" s="18" t="str">
        <f>'planilha principal'!C19</f>
        <v>REBOCO COM ARGAMASSA, TRAÇO 1:2:8 (CIMENTO, CAL E AREIA)
, ESP. 20MM, APLICAÇÃO MANUAL, INCLUSIVE ARGAMASSA COM
PREPARO MECANIZADO, EXCLUSIVE CHAPISCO</v>
      </c>
      <c r="C16" s="288" t="s">
        <v>297</v>
      </c>
      <c r="D16" s="289"/>
      <c r="E16" s="289"/>
      <c r="F16" s="289"/>
      <c r="G16" s="290"/>
    </row>
    <row r="17" spans="1:7" x14ac:dyDescent="0.25">
      <c r="A17" s="13">
        <v>3</v>
      </c>
      <c r="B17" s="86" t="str">
        <f>'planilha principal'!C20</f>
        <v>COBERTURA</v>
      </c>
      <c r="C17" s="9"/>
      <c r="D17" s="10"/>
      <c r="E17" s="14"/>
      <c r="F17" s="11"/>
      <c r="G17" s="12"/>
    </row>
    <row r="18" spans="1:7" ht="56.25" x14ac:dyDescent="0.25">
      <c r="A18" s="7" t="s">
        <v>41</v>
      </c>
      <c r="B18" s="18" t="str">
        <f>'planilha principal'!C21</f>
        <v>FORNECIMENTO DE ESTRUTURA METÁLICA E ENGRADAMENTO
METÁLICO, EM AÇO, PARA TELHADO, EXCLUSIVE TELHA,
INCLUSIVE FABRICAÇÃO, TRANSPORTE, MONTAGEM E
APLICAÇÃO DE FUNDO PREPARADOR ANTICORROSIVO EM
SUPERFÍCIE METÁLICA, UMA (1) DEMÃO</v>
      </c>
      <c r="C18" s="306" t="s">
        <v>239</v>
      </c>
      <c r="D18" s="307"/>
      <c r="E18" s="307"/>
      <c r="F18" s="307"/>
      <c r="G18" s="308"/>
    </row>
    <row r="19" spans="1:7" ht="63" customHeight="1" x14ac:dyDescent="0.25">
      <c r="A19" s="7" t="s">
        <v>43</v>
      </c>
      <c r="B19" s="18" t="str">
        <f>'planilha principal'!C22</f>
        <v>FORNECIMENTO DE ESTRUTURA METÁLICA E ENGRADAMENTO
METÁLICO, EM AÇO PATINÁVEL, SOBRE LAJE PARA TELHA
CERÂMICA, COBERTURA PADRÃO DO PRÉDIO ESCOLAR,
EXCLUSIVE TELHA, INCLUSIVE FABRICAÇÃO, TRANSPORTE E
MONTAGEM</v>
      </c>
      <c r="C19" s="306" t="s">
        <v>298</v>
      </c>
      <c r="D19" s="307"/>
      <c r="E19" s="307"/>
      <c r="F19" s="307"/>
      <c r="G19" s="308"/>
    </row>
    <row r="20" spans="1:7" ht="50.25" customHeight="1" x14ac:dyDescent="0.25">
      <c r="A20" s="7" t="s">
        <v>50</v>
      </c>
      <c r="B20" s="18" t="str">
        <f>'planilha principal'!C23</f>
        <v>COBERTURA EM TELHA METÁLICA GALVANIZADA
TRAPEZOIDAL, TIPO SIMPLES, ESP. 0,50MM, ACABAMENTO NATURAL,
INCLUSIVE ACESSÓRIOS PARA FIXAÇÃO, FORNECIMENTO E
INSTALAÇÃO</v>
      </c>
      <c r="C20" s="306" t="s">
        <v>240</v>
      </c>
      <c r="D20" s="307"/>
      <c r="E20" s="307"/>
      <c r="F20" s="307"/>
      <c r="G20" s="308"/>
    </row>
    <row r="21" spans="1:7" ht="38.25" customHeight="1" x14ac:dyDescent="0.25">
      <c r="A21" s="7" t="s">
        <v>53</v>
      </c>
      <c r="B21" s="18" t="str">
        <f>'planilha principal'!C24</f>
        <v>RUFO E CONTRARRUFO EM CHAPA GALVANIZADA,
ESP. 0,65MM (GSG-24), COM DESENVOLVIMENTO DE 33CM,
INCLUSIVE IÇAMENTO MANUAL VERTICAL</v>
      </c>
      <c r="C21" s="306" t="s">
        <v>241</v>
      </c>
      <c r="D21" s="307"/>
      <c r="E21" s="307"/>
      <c r="F21" s="307"/>
      <c r="G21" s="308"/>
    </row>
    <row r="22" spans="1:7" ht="43.5" customHeight="1" x14ac:dyDescent="0.25">
      <c r="A22" s="7" t="s">
        <v>194</v>
      </c>
      <c r="B22" s="18" t="str">
        <f>'planilha principal'!C25</f>
        <v>CALHA EM CHAPA GALVANIZADA, ESP. 0,5MM (GSG-26), COM
DESENVOLVIMENTO DE 50CM, INCLUSIVE IÇAMENTO MANUAL
VERTICAL</v>
      </c>
      <c r="C22" s="288" t="s">
        <v>242</v>
      </c>
      <c r="D22" s="289"/>
      <c r="E22" s="289"/>
      <c r="F22" s="289"/>
      <c r="G22" s="290"/>
    </row>
    <row r="23" spans="1:7" ht="36" customHeight="1" x14ac:dyDescent="0.25">
      <c r="A23" s="7" t="s">
        <v>200</v>
      </c>
      <c r="B23" s="18" t="str">
        <f>'planilha principal'!C26</f>
        <v>CONDUTOR CIRCULAR DE ÁGUA PLUVIAL PARA TELHADO EM
TUBO DE PVC, DIÂMETRO DE 100MM, INCLUSIVE CONEXÕES E
SUPORTES</v>
      </c>
      <c r="C23" s="306" t="s">
        <v>243</v>
      </c>
      <c r="D23" s="307"/>
      <c r="E23" s="307"/>
      <c r="F23" s="307"/>
      <c r="G23" s="308"/>
    </row>
    <row r="24" spans="1:7" x14ac:dyDescent="0.25">
      <c r="A24" s="13">
        <v>4</v>
      </c>
      <c r="B24" s="86" t="str">
        <f>'planilha principal'!C27</f>
        <v>INSTALAÇÃO HIDROSSANITÁRIA</v>
      </c>
      <c r="C24" s="9"/>
      <c r="D24" s="10"/>
      <c r="E24" s="14"/>
      <c r="F24" s="11"/>
      <c r="G24" s="12"/>
    </row>
    <row r="25" spans="1:7" ht="56.25" x14ac:dyDescent="0.25">
      <c r="A25" s="7" t="s">
        <v>60</v>
      </c>
      <c r="B25" s="18" t="str">
        <f>'planilha principal'!C28</f>
        <v>REMOÇÃO DE LOUÇAS (LAVATÓRIO, BANHEIRA,
PIA, VASO SANITÁRIO, TANQUE), COM REAPROVEITAMENTO,
INCLUSIVE AFASTAMENTO E EMPILHAMENTO, EXCLUSIVE
TRANSPORTE E RETIRADA DO MATERIAL REMOVIDO NÃO
REAPROVEITÁVEL</v>
      </c>
      <c r="C25" s="288" t="s">
        <v>299</v>
      </c>
      <c r="D25" s="289"/>
      <c r="E25" s="289"/>
      <c r="F25" s="289"/>
      <c r="G25" s="290"/>
    </row>
    <row r="26" spans="1:7" ht="78.75" x14ac:dyDescent="0.25">
      <c r="A26" s="7" t="s">
        <v>64</v>
      </c>
      <c r="B26" s="18" t="str">
        <f>'planilha principal'!C29</f>
        <v>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 (LAVATÓRIO)</v>
      </c>
      <c r="C26" s="288" t="s">
        <v>300</v>
      </c>
      <c r="D26" s="289"/>
      <c r="E26" s="289"/>
      <c r="F26" s="289"/>
      <c r="G26" s="290"/>
    </row>
    <row r="27" spans="1:7" ht="56.25" x14ac:dyDescent="0.25">
      <c r="A27" s="7" t="s">
        <v>67</v>
      </c>
      <c r="B27" s="18" t="str">
        <f>'planilha principal'!C30</f>
        <v>PONTO DE EMBUTIR PARA ESGOTO EM TUBO PVC RÍGIDO, PBV -
SÉRIE NORMAL, DN 100MM (4"), EMBUTIDO EM PISO COM
DISTÂNCIA DE ATÉ CINCO (5) METROS DO RAMAL DE ESGOTO,
INCLUSIVE CONEXÕES E FIXAÇÃO DO TUBO COM ENCHIMENTO
DO RASGO NO CONCRETO COM ARGAMASSA (VASO)</v>
      </c>
      <c r="C27" s="288" t="s">
        <v>300</v>
      </c>
      <c r="D27" s="289"/>
      <c r="E27" s="289"/>
      <c r="F27" s="289"/>
      <c r="G27" s="290"/>
    </row>
    <row r="28" spans="1:7" ht="72.75" customHeight="1" x14ac:dyDescent="0.25">
      <c r="A28" s="7" t="s">
        <v>70</v>
      </c>
      <c r="B28" s="18" t="str">
        <f>'planilha principal'!C31</f>
        <v>PONTO DE EMBUTIR PARA ESGOTO EM TUBO PVC RÍGIDO, PBV -
SÉRIE NORMAL, DN 50MM (2"), EMBUTIDO EM PISO COM
DISTÂNCIA DE ATÉ CINCO (5) METROS DO RAMAL DE ESGOTO,
EXCLUSIVE ESCAVAÇÃO, INCLUSIVE CONEXÕES E FIXAÇÃO DO
TUBO COM ENCHIMENTO DO RASGO NO CONCRETO COM
ARGAMASSA (PIA E TANQUE)</v>
      </c>
      <c r="C28" s="288" t="s">
        <v>253</v>
      </c>
      <c r="D28" s="289"/>
      <c r="E28" s="289"/>
      <c r="F28" s="289"/>
      <c r="G28" s="290"/>
    </row>
    <row r="29" spans="1:7" ht="31.5" customHeight="1" x14ac:dyDescent="0.25">
      <c r="A29" s="7" t="s">
        <v>74</v>
      </c>
      <c r="B29" s="18" t="str">
        <f>'planilha principal'!C32</f>
        <v xml:space="preserve">CAIXA SIFONADA EM PVC COM GRELHA REDONDA 100 X 100 X 50
MM </v>
      </c>
      <c r="C29" s="288" t="s">
        <v>253</v>
      </c>
      <c r="D29" s="289"/>
      <c r="E29" s="289"/>
      <c r="F29" s="289"/>
      <c r="G29" s="290"/>
    </row>
    <row r="30" spans="1:7" ht="31.5" customHeight="1" x14ac:dyDescent="0.25">
      <c r="A30" s="7" t="s">
        <v>76</v>
      </c>
      <c r="B30" s="18" t="str">
        <f>'planilha principal'!C33</f>
        <v>PONTO DE EMBUTIR PARA ÁGUA FRIA EM TUBO DE PVC RÍGIDO SOLDÁVEL, DN 20MM (1/2"), EMBUTIDO NA ALVENARIA COM DISTÂNCIA DE ATÉ CINCO (5) METROS DA TOMADA DE ÁGUA, INCLUSIVE CONEXÕES E FIXAÇÃO DO TUBO COM ENCHIMENTO
DO RASGO NA ALVENARIA/CONCRETO COM ARGAMASSA</v>
      </c>
      <c r="C30" s="288" t="s">
        <v>299</v>
      </c>
      <c r="D30" s="289"/>
      <c r="E30" s="289"/>
      <c r="F30" s="289"/>
      <c r="G30" s="290"/>
    </row>
    <row r="31" spans="1:7" ht="55.5" customHeight="1" x14ac:dyDescent="0.25">
      <c r="A31" s="7" t="s">
        <v>201</v>
      </c>
      <c r="B31" s="18" t="str">
        <f>'planilha principal'!C34</f>
        <v>CAIXA D'ÁGUA DE POLIETILENO, CAPACIDADE DE 1.000L,
INCLUSIVE TAMPA, TORNEIRA DE BOIA, EXTRAVASOR, TUBO DE
LIMPEZA E ACESSÓRIOS, EXCLUSIVE TUBULAÇÃO DE ENTRADA/
SAÍDA DE ÁGUA</v>
      </c>
      <c r="C31" s="288" t="s">
        <v>245</v>
      </c>
      <c r="D31" s="289"/>
      <c r="E31" s="289"/>
      <c r="F31" s="289"/>
      <c r="G31" s="290"/>
    </row>
    <row r="32" spans="1:7" ht="19.5" customHeight="1" x14ac:dyDescent="0.25">
      <c r="A32" s="7" t="s">
        <v>202</v>
      </c>
      <c r="B32" s="18" t="str">
        <f>'planilha principal'!C35</f>
        <v xml:space="preserve">ADAPTADOR SOLDÁVEL DE PVC MARROM COM FLANGES E ANEL PARA CAIXA DÁGUA Ø 20 MM X 1/2" </v>
      </c>
      <c r="C32" s="288" t="s">
        <v>253</v>
      </c>
      <c r="D32" s="289"/>
      <c r="E32" s="289"/>
      <c r="F32" s="289"/>
      <c r="G32" s="290"/>
    </row>
    <row r="33" spans="1:7" ht="17.25" customHeight="1" x14ac:dyDescent="0.25">
      <c r="A33" s="7" t="s">
        <v>203</v>
      </c>
      <c r="B33" s="18" t="str">
        <f>'planilha principal'!C36</f>
        <v>ADAPTADOR SOLDÁVEL DE PVC MARROM COM FLANGES E ANEL PARA CAIXA DÁGUA Ø 50 MM X 1 1/2"</v>
      </c>
      <c r="C33" s="288" t="s">
        <v>253</v>
      </c>
      <c r="D33" s="289"/>
      <c r="E33" s="289"/>
      <c r="F33" s="289"/>
      <c r="G33" s="290"/>
    </row>
    <row r="34" spans="1:7" ht="31.5" customHeight="1" x14ac:dyDescent="0.25">
      <c r="A34" s="7" t="s">
        <v>204</v>
      </c>
      <c r="B34" s="18" t="str">
        <f>'planilha principal'!C37</f>
        <v>TORNEIRA DE BOIA, TIPO ROSCÁVEL 3/4", EXCLUSIVE
ADAPTADOR SOLDÁVEL DE PVC COM FLANGES E ANEL PARA
CAIXA DÁGUA</v>
      </c>
      <c r="C34" s="288" t="s">
        <v>253</v>
      </c>
      <c r="D34" s="289"/>
      <c r="E34" s="289"/>
      <c r="F34" s="289"/>
      <c r="G34" s="290"/>
    </row>
    <row r="35" spans="1:7" ht="31.5" customHeight="1" x14ac:dyDescent="0.25">
      <c r="A35" s="7" t="s">
        <v>205</v>
      </c>
      <c r="B35" s="18" t="str">
        <f>'planilha principal'!C38</f>
        <v>FORNECIMENTO E ASSENTAMENTO DE TUBO PVC RÍGIDO,
ESGOTO, PBV - SÉRIE NORMAL, DN 100 MM (4"), INCLUSIVE
CONEXÕES</v>
      </c>
      <c r="C35" s="288" t="s">
        <v>246</v>
      </c>
      <c r="D35" s="289"/>
      <c r="E35" s="289"/>
      <c r="F35" s="289"/>
      <c r="G35" s="290"/>
    </row>
    <row r="36" spans="1:7" ht="31.5" customHeight="1" x14ac:dyDescent="0.25">
      <c r="A36" s="7" t="s">
        <v>206</v>
      </c>
      <c r="B36" s="18" t="str">
        <f>'planilha principal'!C39</f>
        <v>FORNECIMENTO E ASSENTAMENTO DE TUBO PVC RÍGIDO,
ESGOTO, PBV - SÉRIE NORMAL, DN 200 MM (8"), INCLUSIVE
CONEXÕES</v>
      </c>
      <c r="C36" s="288" t="s">
        <v>301</v>
      </c>
      <c r="D36" s="289"/>
      <c r="E36" s="289"/>
      <c r="F36" s="289"/>
      <c r="G36" s="290"/>
    </row>
    <row r="37" spans="1:7" ht="31.5" customHeight="1" x14ac:dyDescent="0.25">
      <c r="A37" s="7" t="s">
        <v>207</v>
      </c>
      <c r="B37" s="18" t="str">
        <f>'planilha principal'!C40</f>
        <v>FORNECIMENTO E ASSENTAMENTO DE TUBO PVC RÍGIDO SOLDÁVEL, ÁGUA FRIA, DN 20 MM (1/2"), INCLUSIVE CONEXÕES</v>
      </c>
      <c r="C37" s="288" t="s">
        <v>246</v>
      </c>
      <c r="D37" s="289"/>
      <c r="E37" s="289"/>
      <c r="F37" s="289"/>
      <c r="G37" s="290"/>
    </row>
    <row r="38" spans="1:7" ht="28.5" customHeight="1" x14ac:dyDescent="0.25">
      <c r="A38" s="7" t="s">
        <v>208</v>
      </c>
      <c r="B38" s="18" t="str">
        <f>'planilha principal'!C41</f>
        <v>FORNECIMENTO E ASSENTAMENTO DE TUBO PVC RÍGIDO SOLDÁVEL, ÁGUA FRIA, DN 25 MM (3/4") , INCLUSIVE CONEXÕES</v>
      </c>
      <c r="C38" s="288" t="s">
        <v>246</v>
      </c>
      <c r="D38" s="289"/>
      <c r="E38" s="289"/>
      <c r="F38" s="289"/>
      <c r="G38" s="290"/>
    </row>
    <row r="39" spans="1:7" x14ac:dyDescent="0.25">
      <c r="A39" s="13">
        <v>5</v>
      </c>
      <c r="B39" s="87" t="str">
        <f>'planilha principal'!C42</f>
        <v>PISOS E AZULEJOS</v>
      </c>
      <c r="C39" s="17"/>
      <c r="D39" s="10"/>
      <c r="E39" s="19"/>
      <c r="F39" s="11"/>
      <c r="G39" s="20"/>
    </row>
    <row r="40" spans="1:7" ht="54" customHeight="1" x14ac:dyDescent="0.25">
      <c r="A40" s="7" t="s">
        <v>96</v>
      </c>
      <c r="B40" s="18" t="str">
        <f>'planilha principal'!C43</f>
        <v>DEMOLIÇÃO MANUAL DE REVESTIMENTO
CERÂMICO, AZULEJO OU LADRILHO HIDRÁULICO, INCLUSIVE
AFASTAMENTO E EMPILHAMENTO, EXCLUSIVE DEMOLIÇÃO DO
REBOCO OU EMBOÇO, TRANSPORTE E RETIRADA DO MATERIAL
DEMOLIDO</v>
      </c>
      <c r="C40" s="306" t="s">
        <v>302</v>
      </c>
      <c r="D40" s="307"/>
      <c r="E40" s="307"/>
      <c r="F40" s="307"/>
      <c r="G40" s="308"/>
    </row>
    <row r="41" spans="1:7" ht="39" customHeight="1" x14ac:dyDescent="0.25">
      <c r="A41" s="7" t="s">
        <v>99</v>
      </c>
      <c r="B41" s="18" t="str">
        <f>'planilha principal'!C44</f>
        <v>REVESTIMENTO COM CERÂMICA APLICADO EM PAREDE, ACABAMENTO ESMALTADO, AMBIENTE INTERNO/EXTERNO, PADRÃO EXTRA, DIMENSÃO DA PEÇA ATÉ 2025 CM2, PEI III, ASSENTAMENTO COM ARGAMASSA INDUSTRIALIZADA, INCLUSIVE REJUNTAMENTO</v>
      </c>
      <c r="C41" s="306" t="s">
        <v>247</v>
      </c>
      <c r="D41" s="307"/>
      <c r="E41" s="307"/>
      <c r="F41" s="307"/>
      <c r="G41" s="308"/>
    </row>
    <row r="42" spans="1:7" ht="28.5" customHeight="1" x14ac:dyDescent="0.25">
      <c r="A42" s="7" t="s">
        <v>102</v>
      </c>
      <c r="B42" s="18" t="str">
        <f>'planilha principal'!C45</f>
        <v>CONTRAPISO DESEMPENADO COM ARGAMASSA, TRAÇO 1:3 (CIMENTO E AREIA), ESP. 30MM, INCLUSIVE ARGAMASSA COM PREPARO MECANIZADO</v>
      </c>
      <c r="C42" s="306" t="s">
        <v>303</v>
      </c>
      <c r="D42" s="307"/>
      <c r="E42" s="307"/>
      <c r="F42" s="307"/>
      <c r="G42" s="308"/>
    </row>
    <row r="43" spans="1:7" ht="32.25" customHeight="1" x14ac:dyDescent="0.25">
      <c r="A43" s="7" t="s">
        <v>103</v>
      </c>
      <c r="B43" s="18" t="str">
        <f>'planilha principal'!C46</f>
        <v>PISO C/FORRAÇÃO TÊXTIL ( CARPETE E = 4mm a 5mm)</v>
      </c>
      <c r="C43" s="306" t="s">
        <v>304</v>
      </c>
      <c r="D43" s="307"/>
      <c r="E43" s="307"/>
      <c r="F43" s="307"/>
      <c r="G43" s="308"/>
    </row>
    <row r="44" spans="1:7" ht="34.5" customHeight="1" x14ac:dyDescent="0.25">
      <c r="A44" s="7" t="s">
        <v>106</v>
      </c>
      <c r="B44" s="18" t="str">
        <f>'planilha principal'!C47</f>
        <v>PISO EM CONCRETO PREPARADO EM OBRA COM BETONEIRA COM FCK DE 13,5MPA, SEM ARMAÇÃO, ACABAMENTO RÚSTICO, ESP. 8CM, INCLUSIVE FORNECIMENTO, LANÇAMENTO, ADENSAMENTO, SARRAFEAMENTO, EXCLUSIVE JUNTA DE DILATAÇÃO</v>
      </c>
      <c r="C44" s="306" t="s">
        <v>305</v>
      </c>
      <c r="D44" s="307"/>
      <c r="E44" s="307"/>
      <c r="F44" s="307"/>
      <c r="G44" s="308"/>
    </row>
    <row r="45" spans="1:7" x14ac:dyDescent="0.25">
      <c r="A45" s="13">
        <v>6</v>
      </c>
      <c r="B45" s="86" t="str">
        <f>'planilha principal'!C48</f>
        <v>ESQUADRIAS</v>
      </c>
      <c r="C45" s="9"/>
      <c r="D45" s="10"/>
      <c r="E45" s="14"/>
      <c r="F45" s="11"/>
      <c r="G45" s="12"/>
    </row>
    <row r="46" spans="1:7" ht="45" customHeight="1" x14ac:dyDescent="0.25">
      <c r="A46" s="7" t="s">
        <v>110</v>
      </c>
      <c r="B46" s="18" t="str">
        <f>'planilha principal'!C49</f>
        <v>REMOÇÃO MANUAL DE ESQUADRIA METÁLICA,
COM REAPROVEITAMENTO, INCLUSIVE MARCO/ALIZAR/GUARNIÇÕES,
AFASTAMENTO E EMPILHAMENTO, EXCLUSIVE TRANSPORTE E
RETIRADA DO MATERIAL REMOVIDO NÃO REAPROVEITÁVEL</v>
      </c>
      <c r="C46" s="306" t="s">
        <v>306</v>
      </c>
      <c r="D46" s="307"/>
      <c r="E46" s="307"/>
      <c r="F46" s="307"/>
      <c r="G46" s="308"/>
    </row>
    <row r="47" spans="1:7" ht="50.25" customHeight="1" x14ac:dyDescent="0.25">
      <c r="A47" s="7" t="s">
        <v>113</v>
      </c>
      <c r="B47" s="18" t="str">
        <f>'planilha principal'!C50</f>
        <v>MARCO DE MADEIRA, DIMENSÃO (90X210)CM, LARGURA DE 14CM,
ACABAMENTO NATURAL PARA PINTURA/VERNIZ, INCLUSIVE
ASSENTAMENTO, EXCLUSIVE FOLHA DE PORTA, FERRAGENS E
PINTURA/VERNIZ</v>
      </c>
      <c r="C47" s="306" t="s">
        <v>253</v>
      </c>
      <c r="D47" s="307"/>
      <c r="E47" s="307"/>
      <c r="F47" s="307"/>
      <c r="G47" s="308"/>
    </row>
    <row r="48" spans="1:7" ht="48.75" customHeight="1" x14ac:dyDescent="0.25">
      <c r="A48" s="7" t="s">
        <v>116</v>
      </c>
      <c r="B48" s="18" t="str">
        <f>'planilha principal'!C51</f>
        <v>FOLHA DE PORTA EM MADEIRA, DIMENSÃO (90X210)CM,
ACABAMENTO NATURAL PARA PINTURA/VERNIZ, TIPO
PRANCHETA/SARRAFEADA, INCLUSIVE ASSENTAMENTO,
EXCLUSIVE MARCO, FERRAGENS E PINTURA/VERNIZ</v>
      </c>
      <c r="C48" s="306" t="s">
        <v>253</v>
      </c>
      <c r="D48" s="307"/>
      <c r="E48" s="307"/>
      <c r="F48" s="307"/>
      <c r="G48" s="308"/>
    </row>
    <row r="49" spans="1:7" ht="47.25" customHeight="1" x14ac:dyDescent="0.25">
      <c r="A49" s="7" t="s">
        <v>121</v>
      </c>
      <c r="B49" s="18" t="str">
        <f>'planilha principal'!C52</f>
        <v>VIDRO TEMPERADO TRANSPARENTE INCOLOR, ESP. 8MM,
INCLUSIVE FIXAÇÃO E VEDAÇÃO COM GUARNIÇÃO/GAXETA DE
BORRACHA NEOPRENE, FORNECIMENTO E INSTALAÇÃO,
EXCLUSIVE CAIXILHO/PERFIL</v>
      </c>
      <c r="C49" s="288" t="s">
        <v>248</v>
      </c>
      <c r="D49" s="289"/>
      <c r="E49" s="289"/>
      <c r="F49" s="289"/>
      <c r="G49" s="290"/>
    </row>
    <row r="50" spans="1:7" ht="51" customHeight="1" x14ac:dyDescent="0.25">
      <c r="A50" s="7" t="s">
        <v>124</v>
      </c>
      <c r="B50" s="18" t="str">
        <f>'planilha principal'!C53</f>
        <v>VIDRO TEMPERADO TRANSPARENTE INCOLOR, ESP. 10MM,
INCLUSIVE FIXAÇÃO E VEDAÇÃO COM GUARNIÇÃO/GAXETA DE
BORRACHA NEOPRENE, FORNECIMENTO E INSTALAÇÃO,
EXCLUSIVE CAIXILHO/PERFIL</v>
      </c>
      <c r="C50" s="306" t="s">
        <v>249</v>
      </c>
      <c r="D50" s="307"/>
      <c r="E50" s="307"/>
      <c r="F50" s="307"/>
      <c r="G50" s="308"/>
    </row>
    <row r="51" spans="1:7" ht="53.25" customHeight="1" x14ac:dyDescent="0.25">
      <c r="A51" s="7" t="s">
        <v>209</v>
      </c>
      <c r="B51" s="18" t="str">
        <f>'planilha principal'!C54</f>
        <v>FECHADURA TIPO INTERNA (GORGE), GRAU DE SEGURANÇA
MÉDIO, DISTÂNCIA DE BROCA 40MM, ACABAMENTO COM
ESPELHO CROMADO E MAÇANETA MODELO ALAVANCA EM
ZAMAC, INCLUSIVE ACESSÓRIOS PARA FIXAÇÃO E DUAS (2)
CHAVES</v>
      </c>
      <c r="C51" s="288" t="s">
        <v>253</v>
      </c>
      <c r="D51" s="289"/>
      <c r="E51" s="289"/>
      <c r="F51" s="289"/>
      <c r="G51" s="290"/>
    </row>
    <row r="52" spans="1:7" ht="45.75" customHeight="1" x14ac:dyDescent="0.25">
      <c r="A52" s="7" t="s">
        <v>210</v>
      </c>
      <c r="B52" s="18" t="str">
        <f>'planilha principal'!C55</f>
        <v>DOBRADIÇA DE FERRO, MEDIDAS (3"X2.1/2"), TIPO PINO SOLTO
COM BOLA, ACABAMENTO CROMADO, INCLUSIVE ACESSÓRIOS
PARA FIXAÇÃO</v>
      </c>
      <c r="C52" s="288" t="s">
        <v>252</v>
      </c>
      <c r="D52" s="289"/>
      <c r="E52" s="289"/>
      <c r="F52" s="289"/>
      <c r="G52" s="290"/>
    </row>
    <row r="53" spans="1:7" x14ac:dyDescent="0.25">
      <c r="A53" s="13">
        <v>7</v>
      </c>
      <c r="B53" s="86" t="str">
        <f>'planilha principal'!C56</f>
        <v>PINTURA</v>
      </c>
      <c r="C53" s="9"/>
      <c r="D53" s="10"/>
      <c r="E53" s="14"/>
      <c r="F53" s="11"/>
      <c r="G53" s="12"/>
    </row>
    <row r="54" spans="1:7" ht="19.5" customHeight="1" x14ac:dyDescent="0.25">
      <c r="A54" s="7" t="s">
        <v>128</v>
      </c>
      <c r="B54" s="18" t="str">
        <f>'planilha principal'!C57</f>
        <v>PREPARAÇÃO, LIXAMENTO PARA APLICAÇÃO DO SINTECO</v>
      </c>
      <c r="C54" s="288" t="s">
        <v>309</v>
      </c>
      <c r="D54" s="289"/>
      <c r="E54" s="289"/>
      <c r="F54" s="289"/>
      <c r="G54" s="290"/>
    </row>
    <row r="55" spans="1:7" ht="29.25" customHeight="1" x14ac:dyDescent="0.25">
      <c r="A55" s="7" t="s">
        <v>129</v>
      </c>
      <c r="B55" s="18" t="str">
        <f>'planilha principal'!C58</f>
        <v>SINTECO SOBRE PISO DE MADEIRA</v>
      </c>
      <c r="C55" s="306" t="s">
        <v>307</v>
      </c>
      <c r="D55" s="307"/>
      <c r="E55" s="307"/>
      <c r="F55" s="307"/>
      <c r="G55" s="308"/>
    </row>
    <row r="56" spans="1:7" ht="36" customHeight="1" x14ac:dyDescent="0.25">
      <c r="A56" s="7" t="s">
        <v>134</v>
      </c>
      <c r="B56" s="18" t="str">
        <f>'planilha principal'!C59</f>
        <v>PINTURA ACRÍLICA EM PAREDE, DUAS (2) DEMÃOS, COM
APLICAÇÃO MANUAL, EXCLUSIVE SELADOR ACRÍLICO E MASSA
ACRÍLICA/CORRIDA (PVA)</v>
      </c>
      <c r="C56" s="288" t="s">
        <v>250</v>
      </c>
      <c r="D56" s="289"/>
      <c r="E56" s="289"/>
      <c r="F56" s="289"/>
      <c r="G56" s="290"/>
    </row>
    <row r="57" spans="1:7" ht="42" customHeight="1" x14ac:dyDescent="0.25">
      <c r="A57" s="7" t="s">
        <v>137</v>
      </c>
      <c r="B57" s="18" t="str">
        <f>'planilha principal'!C60</f>
        <v>PINTURA LÁTEX (PVA) EM PAREDE, DUAS (2) DEMÃOS, COM
APLICAÇÃO MANUAL, EXCLUSIVE SELADOR ACRÍLICO E MASSA
ACRÍLICA/CORRIDA (PVA)</v>
      </c>
      <c r="C57" s="288" t="s">
        <v>308</v>
      </c>
      <c r="D57" s="289"/>
      <c r="E57" s="289"/>
      <c r="F57" s="289"/>
      <c r="G57" s="290"/>
    </row>
    <row r="58" spans="1:7" ht="34.5" customHeight="1" x14ac:dyDescent="0.25">
      <c r="A58" s="7" t="s">
        <v>138</v>
      </c>
      <c r="B58" s="18" t="str">
        <f>'planilha principal'!C61</f>
        <v>PREPARAÇÃO PARA EMASSAMENTO OU PINTURA (LÁTEX/
ACRÍLICA) EM PAREDE, INCLUSIVE UMA (1) DEMÃO DE SELADOR
ACRÍLICO</v>
      </c>
      <c r="C58" s="306" t="s">
        <v>251</v>
      </c>
      <c r="D58" s="307"/>
      <c r="E58" s="307"/>
      <c r="F58" s="307"/>
      <c r="G58" s="308"/>
    </row>
    <row r="59" spans="1:7" x14ac:dyDescent="0.25">
      <c r="A59" s="13">
        <v>8</v>
      </c>
      <c r="B59" s="86" t="str">
        <f>'planilha principal'!C62</f>
        <v>INSTALAÇÃO ELÉTRICA</v>
      </c>
      <c r="C59" s="9"/>
      <c r="D59" s="10"/>
      <c r="E59" s="14"/>
      <c r="F59" s="11"/>
      <c r="G59" s="12"/>
    </row>
    <row r="60" spans="1:7" ht="45" x14ac:dyDescent="0.25">
      <c r="A60" s="7" t="s">
        <v>140</v>
      </c>
      <c r="B60" s="18" t="str">
        <f>'planilha principal'!C63</f>
        <v>LUMINÁRIA COMERCIAL CHANFRADA DE SOBREPOR COMPLETA,
PARA DUAS (2) LÂMPADAS TUBULARES LED 2X18W-ØT8,
TEMPERATURA DA COR 6500K, FORNECIMENTO E INSTALAÇÃO,
INCLUSIVE BASE E LÂMPADAS</v>
      </c>
      <c r="C60" s="288" t="s">
        <v>310</v>
      </c>
      <c r="D60" s="289"/>
      <c r="E60" s="289"/>
      <c r="F60" s="289"/>
      <c r="G60" s="290"/>
    </row>
    <row r="61" spans="1:7" ht="33.75" x14ac:dyDescent="0.25">
      <c r="A61" s="7" t="s">
        <v>144</v>
      </c>
      <c r="B61" s="18" t="str">
        <f>'planilha principal'!C64</f>
        <v>CABO DE COBRE FLEXÍVEL, CLASSE 5, ISOLAMENTO TIPO LSHF/
ATOX, NÃO HALOGENADO, ANTICHAMA, TERMOPLÁSTICO,
UNIPOLAR, SEÇÃO 2,5 MM2, 70°C, 450/750V</v>
      </c>
      <c r="C61" s="288" t="s">
        <v>311</v>
      </c>
      <c r="D61" s="289"/>
      <c r="E61" s="289"/>
      <c r="F61" s="289"/>
      <c r="G61" s="290"/>
    </row>
    <row r="62" spans="1:7" ht="33.75" x14ac:dyDescent="0.25">
      <c r="A62" s="7" t="s">
        <v>147</v>
      </c>
      <c r="B62" s="18" t="str">
        <f>'planilha principal'!C65</f>
        <v>CABO DE COBRE FLEXÍVEL, CLASSE 5, ISOLAMENTO TIPO LSHF/
ATOX, NÃO HALOGENADO, ANTICHAMA, TERMOPLÁSTICO,
UNIPOLAR, SEÇÃO 6 MM2, 70°C, 450/750V</v>
      </c>
      <c r="C62" s="288" t="s">
        <v>311</v>
      </c>
      <c r="D62" s="289"/>
      <c r="E62" s="289"/>
      <c r="F62" s="289"/>
      <c r="G62" s="290"/>
    </row>
    <row r="63" spans="1:7" ht="45" x14ac:dyDescent="0.25">
      <c r="A63" s="7" t="s">
        <v>150</v>
      </c>
      <c r="B63" s="18" t="str">
        <f>'planilha principal'!C66</f>
        <v>CONJUNTO DE UMA (1) TOMADA PADRÃO, TRÊS (3) POLOS,
CORRENTE 10A, TENSÃO 250V, (2P+T/10A-250V), COM PLACA 4"X2"
DE UM (1) POSTO, INCLUSIVE FORNECIMENTO, INSTALAÇÃO,
SUPORTE, MÓDULO E PLACA</v>
      </c>
      <c r="C63" s="288" t="s">
        <v>312</v>
      </c>
      <c r="D63" s="289"/>
      <c r="E63" s="289"/>
      <c r="F63" s="289"/>
      <c r="G63" s="290"/>
    </row>
    <row r="64" spans="1:7" ht="45.75" customHeight="1" x14ac:dyDescent="0.25">
      <c r="A64" s="7" t="s">
        <v>153</v>
      </c>
      <c r="B64" s="18" t="str">
        <f>'planilha principal'!C67</f>
        <v>CONJUNTO DE DOIS (2) INTERRUPTORES BIPOLAR SIMPLES,
CORRENTE 10A, TENSÃO 250V, (10A-250V), COM PLACA 4"X2" DE
DOIS (2) POSTOS, INCLUSIVE FORNECIMENTO, INSTALAÇÃO,
SUPORTE, MÓDULO E PLACA</v>
      </c>
      <c r="C64" s="288" t="s">
        <v>253</v>
      </c>
      <c r="D64" s="289"/>
      <c r="E64" s="289"/>
      <c r="F64" s="289"/>
      <c r="G64" s="290"/>
    </row>
    <row r="65" spans="1:7" ht="36" customHeight="1" x14ac:dyDescent="0.25">
      <c r="A65" s="7" t="s">
        <v>156</v>
      </c>
      <c r="B65" s="18" t="str">
        <f>'planilha principal'!C68</f>
        <v>QUADRO DE DISTRIBUIÇÃO DE EMBUTIR EM PVC, PARA 12
DISJUNTORES DIN, INCLUSIVE BARRAMENTOS NEUTRO/TERRA,
EXCLUSIVE BARRAMENTO DE FASE</v>
      </c>
      <c r="C65" s="288" t="s">
        <v>245</v>
      </c>
      <c r="D65" s="289"/>
      <c r="E65" s="289"/>
      <c r="F65" s="289"/>
      <c r="G65" s="290"/>
    </row>
    <row r="66" spans="1:7" ht="27" customHeight="1" x14ac:dyDescent="0.25">
      <c r="A66" s="7" t="s">
        <v>211</v>
      </c>
      <c r="B66" s="18" t="str">
        <f>'planilha principal'!C69</f>
        <v>DISJUNTOR MONOPOLAR TIPO DIN, CORRENTE NOMINAL DE 32A,
FORNECIMENTO E INSTALAÇÃO, INCLUSIVE TERMINAL ILHÓS</v>
      </c>
      <c r="C66" s="288" t="s">
        <v>244</v>
      </c>
      <c r="D66" s="289"/>
      <c r="E66" s="289"/>
      <c r="F66" s="289"/>
      <c r="G66" s="290"/>
    </row>
    <row r="67" spans="1:7" ht="21.75" customHeight="1" x14ac:dyDescent="0.25">
      <c r="A67" s="7" t="s">
        <v>212</v>
      </c>
      <c r="B67" s="18" t="str">
        <f>'planilha principal'!C70</f>
        <v>DISJUNTOR BIPOLAR TIPO DIN, CORRENTE NOMINAL DE 50A,
FORNECIMENTO E INSTALAÇÃO, INCLUSIVE TERMINAL ILHÓS</v>
      </c>
      <c r="C67" s="288" t="s">
        <v>244</v>
      </c>
      <c r="D67" s="289"/>
      <c r="E67" s="289"/>
      <c r="F67" s="289"/>
      <c r="G67" s="290"/>
    </row>
    <row r="68" spans="1:7" ht="14.25" customHeight="1" x14ac:dyDescent="0.25">
      <c r="A68" s="13">
        <v>9</v>
      </c>
      <c r="B68" s="86" t="str">
        <f>'planilha principal'!C71</f>
        <v>LOUÇAS E METAIS</v>
      </c>
      <c r="C68" s="9"/>
      <c r="D68" s="10"/>
      <c r="E68" s="14"/>
      <c r="F68" s="11"/>
      <c r="G68" s="12"/>
    </row>
    <row r="69" spans="1:7" ht="48" customHeight="1" x14ac:dyDescent="0.25">
      <c r="A69" s="7" t="s">
        <v>164</v>
      </c>
      <c r="B69" s="18" t="str">
        <f>'planilha principal'!C72</f>
        <v>BACIA SANITÁRIA (VASO) DE LOUÇA COM CAIXA ACOPLADA, COR
BRANCA, INCLUSIVE ACESSÓRIOS DE FIXAÇÃO/VEDAÇÃO,
ENGATE FLEXÍVEL METÁLICO E REJUNTAMENTO, EXCLUSIVE
ASSENTO</v>
      </c>
      <c r="C69" s="288" t="s">
        <v>300</v>
      </c>
      <c r="D69" s="289"/>
      <c r="E69" s="289"/>
      <c r="F69" s="289"/>
      <c r="G69" s="290"/>
    </row>
    <row r="70" spans="1:7" ht="40.5" customHeight="1" x14ac:dyDescent="0.25">
      <c r="A70" s="7" t="s">
        <v>167</v>
      </c>
      <c r="B70" s="18" t="str">
        <f>'planilha principal'!C73</f>
        <v>TORNEIRA METÁLICA PARA LAVATÓRIO, FECHAMENTO
AUTOMÁTICO, ACABAMENTO CROMADO, COM AREJADOR,
APLICAÇÃO DE MESA, INCLUSIVE ENGATE FLEXÍVEL METÁLICO</v>
      </c>
      <c r="C70" s="288" t="s">
        <v>300</v>
      </c>
      <c r="D70" s="289"/>
      <c r="E70" s="289"/>
      <c r="F70" s="289"/>
      <c r="G70" s="290"/>
    </row>
    <row r="71" spans="1:7" ht="27" customHeight="1" x14ac:dyDescent="0.25">
      <c r="A71" s="7" t="s">
        <v>168</v>
      </c>
      <c r="B71" s="18" t="str">
        <f>'planilha principal'!C74</f>
        <v>MICTÓRIO SIFONADO DE LOUÇA BRANCA, INCLUSIVE ENGATE
FLEXÍVEL, EXCLUSIVE VÁLVULA DE DESCARGA</v>
      </c>
      <c r="C71" s="288" t="s">
        <v>244</v>
      </c>
      <c r="D71" s="289"/>
      <c r="E71" s="289"/>
      <c r="F71" s="289"/>
      <c r="G71" s="290"/>
    </row>
    <row r="72" spans="1:7" ht="30" customHeight="1" x14ac:dyDescent="0.25">
      <c r="A72" s="7" t="s">
        <v>169</v>
      </c>
      <c r="B72" s="18" t="str">
        <f>'planilha principal'!C75</f>
        <v>VÁLVULA DE DESCARGA METÁLICA PARA MICTÓRIO COM
FECHAMENTO AUTOMÁTICO, EXCLUSIVE MICTÓRIO</v>
      </c>
      <c r="C72" s="288" t="s">
        <v>244</v>
      </c>
      <c r="D72" s="289"/>
      <c r="E72" s="289"/>
      <c r="F72" s="289"/>
      <c r="G72" s="290"/>
    </row>
    <row r="73" spans="1:7" ht="17.25" customHeight="1" x14ac:dyDescent="0.25">
      <c r="A73" s="7" t="s">
        <v>172</v>
      </c>
      <c r="B73" s="18" t="str">
        <f>'planilha principal'!C76</f>
        <v>BANCADA EM GRANITO CINZA ANDORINHA E = 3 CM, APOIADA EM ALVENARIA</v>
      </c>
      <c r="C73" s="288" t="s">
        <v>300</v>
      </c>
      <c r="D73" s="289"/>
      <c r="E73" s="289"/>
      <c r="F73" s="289"/>
      <c r="G73" s="290"/>
    </row>
    <row r="74" spans="1:7" ht="60.75" customHeight="1" x14ac:dyDescent="0.25">
      <c r="A74" s="7" t="s">
        <v>175</v>
      </c>
      <c r="B74" s="18" t="str">
        <f>'planilha principal'!C77</f>
        <v>CUBA EM AÇO INOXIDÁVEL DE EMBUTIR, AISI 304,
APLICAÇÃO PARA PIA (465X330X115MM), NÚMERO 1, ASSENTAMENTO
EM BANCADA, INCLUSIVE VÁLVULA DE ESCOAMENTO DE METAL
COM ACABAMENTO CROMADO, SIFÃO DE METAL TIPO COPO COM
ACABAMENTO CROMADO</v>
      </c>
      <c r="C74" s="288" t="s">
        <v>300</v>
      </c>
      <c r="D74" s="289"/>
      <c r="E74" s="289"/>
      <c r="F74" s="289"/>
      <c r="G74" s="290"/>
    </row>
    <row r="75" spans="1:7" x14ac:dyDescent="0.25">
      <c r="A75" s="13">
        <v>10</v>
      </c>
      <c r="B75" s="86" t="str">
        <f>'planilha principal'!C78</f>
        <v>LIMPEZA</v>
      </c>
      <c r="C75" s="9"/>
      <c r="D75" s="10"/>
      <c r="E75" s="14"/>
      <c r="F75" s="11"/>
      <c r="G75" s="12"/>
    </row>
    <row r="76" spans="1:7" x14ac:dyDescent="0.25">
      <c r="A76" s="7" t="s">
        <v>182</v>
      </c>
      <c r="B76" s="18" t="str">
        <f>'planilha principal'!C79</f>
        <v>LIMPEZA FINAL PARA ENTREGA DA OBRA</v>
      </c>
      <c r="C76" s="288" t="s">
        <v>254</v>
      </c>
      <c r="D76" s="289"/>
      <c r="E76" s="289"/>
      <c r="F76" s="289"/>
      <c r="G76" s="290"/>
    </row>
    <row r="80" spans="1:7" x14ac:dyDescent="0.25">
      <c r="A80" t="s">
        <v>186</v>
      </c>
      <c r="C80" s="309" t="s">
        <v>193</v>
      </c>
      <c r="D80" s="309"/>
      <c r="E80" s="309"/>
      <c r="F80" s="309"/>
      <c r="G80" s="309"/>
    </row>
    <row r="81" spans="1:7" x14ac:dyDescent="0.25">
      <c r="A81" t="s">
        <v>187</v>
      </c>
      <c r="C81" s="309" t="s">
        <v>188</v>
      </c>
      <c r="D81" s="309"/>
      <c r="E81" s="309"/>
      <c r="F81" s="309"/>
      <c r="G81" s="309"/>
    </row>
  </sheetData>
  <mergeCells count="67">
    <mergeCell ref="C34:G34"/>
    <mergeCell ref="C35:G35"/>
    <mergeCell ref="C36:G36"/>
    <mergeCell ref="C41:G41"/>
    <mergeCell ref="C42:G42"/>
    <mergeCell ref="C40:G40"/>
    <mergeCell ref="C43:G43"/>
    <mergeCell ref="C76:G76"/>
    <mergeCell ref="C80:G80"/>
    <mergeCell ref="C81:G81"/>
    <mergeCell ref="C37:G37"/>
    <mergeCell ref="C38:G38"/>
    <mergeCell ref="C44:G44"/>
    <mergeCell ref="C50:G50"/>
    <mergeCell ref="C51:G51"/>
    <mergeCell ref="C52:G52"/>
    <mergeCell ref="C64:G64"/>
    <mergeCell ref="C69:G69"/>
    <mergeCell ref="C70:G70"/>
    <mergeCell ref="C71:G71"/>
    <mergeCell ref="C56:G56"/>
    <mergeCell ref="C57:G57"/>
    <mergeCell ref="C60:G60"/>
    <mergeCell ref="C61:G61"/>
    <mergeCell ref="C62:G62"/>
    <mergeCell ref="C63:G63"/>
    <mergeCell ref="C46:G46"/>
    <mergeCell ref="C47:G47"/>
    <mergeCell ref="C48:G48"/>
    <mergeCell ref="C49:G49"/>
    <mergeCell ref="C54:G54"/>
    <mergeCell ref="C55:G55"/>
    <mergeCell ref="C58:G58"/>
    <mergeCell ref="C30:G30"/>
    <mergeCell ref="C31:G31"/>
    <mergeCell ref="C32:G32"/>
    <mergeCell ref="C33:G33"/>
    <mergeCell ref="C18:G18"/>
    <mergeCell ref="C19:G19"/>
    <mergeCell ref="C20:G20"/>
    <mergeCell ref="C21:G21"/>
    <mergeCell ref="C22:G22"/>
    <mergeCell ref="C23:G23"/>
    <mergeCell ref="C25:G25"/>
    <mergeCell ref="C26:G26"/>
    <mergeCell ref="C27:G27"/>
    <mergeCell ref="C28:G28"/>
    <mergeCell ref="C29:G29"/>
    <mergeCell ref="C12:G12"/>
    <mergeCell ref="C13:G13"/>
    <mergeCell ref="C14:G14"/>
    <mergeCell ref="C15:G15"/>
    <mergeCell ref="C16:G16"/>
    <mergeCell ref="A7:G7"/>
    <mergeCell ref="C8:G8"/>
    <mergeCell ref="C10:G10"/>
    <mergeCell ref="A1:G1"/>
    <mergeCell ref="A2:G2"/>
    <mergeCell ref="A3:G3"/>
    <mergeCell ref="A4:G4"/>
    <mergeCell ref="A5:G5"/>
    <mergeCell ref="C74:G74"/>
    <mergeCell ref="C65:G65"/>
    <mergeCell ref="C66:G66"/>
    <mergeCell ref="C67:G67"/>
    <mergeCell ref="C72:G72"/>
    <mergeCell ref="C73:G73"/>
  </mergeCells>
  <pageMargins left="0.51181102362204722" right="0.51181102362204722" top="0.78740157480314965" bottom="0.78740157480314965" header="0.31496062992125984" footer="0.31496062992125984"/>
  <pageSetup paperSize="9" scale="6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topLeftCell="A13" workbookViewId="0">
      <selection sqref="A1:XFD1048576"/>
    </sheetView>
  </sheetViews>
  <sheetFormatPr defaultRowHeight="15" x14ac:dyDescent="0.25"/>
  <cols>
    <col min="1" max="10" width="10.7109375" customWidth="1"/>
    <col min="257" max="266" width="10.7109375" customWidth="1"/>
    <col min="513" max="522" width="10.7109375" customWidth="1"/>
    <col min="769" max="778" width="10.7109375" customWidth="1"/>
    <col min="1025" max="1034" width="10.7109375" customWidth="1"/>
    <col min="1281" max="1290" width="10.7109375" customWidth="1"/>
    <col min="1537" max="1546" width="10.7109375" customWidth="1"/>
    <col min="1793" max="1802" width="10.7109375" customWidth="1"/>
    <col min="2049" max="2058" width="10.7109375" customWidth="1"/>
    <col min="2305" max="2314" width="10.7109375" customWidth="1"/>
    <col min="2561" max="2570" width="10.7109375" customWidth="1"/>
    <col min="2817" max="2826" width="10.7109375" customWidth="1"/>
    <col min="3073" max="3082" width="10.7109375" customWidth="1"/>
    <col min="3329" max="3338" width="10.7109375" customWidth="1"/>
    <col min="3585" max="3594" width="10.7109375" customWidth="1"/>
    <col min="3841" max="3850" width="10.7109375" customWidth="1"/>
    <col min="4097" max="4106" width="10.7109375" customWidth="1"/>
    <col min="4353" max="4362" width="10.7109375" customWidth="1"/>
    <col min="4609" max="4618" width="10.7109375" customWidth="1"/>
    <col min="4865" max="4874" width="10.7109375" customWidth="1"/>
    <col min="5121" max="5130" width="10.7109375" customWidth="1"/>
    <col min="5377" max="5386" width="10.7109375" customWidth="1"/>
    <col min="5633" max="5642" width="10.7109375" customWidth="1"/>
    <col min="5889" max="5898" width="10.7109375" customWidth="1"/>
    <col min="6145" max="6154" width="10.7109375" customWidth="1"/>
    <col min="6401" max="6410" width="10.7109375" customWidth="1"/>
    <col min="6657" max="6666" width="10.7109375" customWidth="1"/>
    <col min="6913" max="6922" width="10.7109375" customWidth="1"/>
    <col min="7169" max="7178" width="10.7109375" customWidth="1"/>
    <col min="7425" max="7434" width="10.7109375" customWidth="1"/>
    <col min="7681" max="7690" width="10.7109375" customWidth="1"/>
    <col min="7937" max="7946" width="10.7109375" customWidth="1"/>
    <col min="8193" max="8202" width="10.7109375" customWidth="1"/>
    <col min="8449" max="8458" width="10.7109375" customWidth="1"/>
    <col min="8705" max="8714" width="10.7109375" customWidth="1"/>
    <col min="8961" max="8970" width="10.7109375" customWidth="1"/>
    <col min="9217" max="9226" width="10.7109375" customWidth="1"/>
    <col min="9473" max="9482" width="10.7109375" customWidth="1"/>
    <col min="9729" max="9738" width="10.7109375" customWidth="1"/>
    <col min="9985" max="9994" width="10.7109375" customWidth="1"/>
    <col min="10241" max="10250" width="10.7109375" customWidth="1"/>
    <col min="10497" max="10506" width="10.7109375" customWidth="1"/>
    <col min="10753" max="10762" width="10.7109375" customWidth="1"/>
    <col min="11009" max="11018" width="10.7109375" customWidth="1"/>
    <col min="11265" max="11274" width="10.7109375" customWidth="1"/>
    <col min="11521" max="11530" width="10.7109375" customWidth="1"/>
    <col min="11777" max="11786" width="10.7109375" customWidth="1"/>
    <col min="12033" max="12042" width="10.7109375" customWidth="1"/>
    <col min="12289" max="12298" width="10.7109375" customWidth="1"/>
    <col min="12545" max="12554" width="10.7109375" customWidth="1"/>
    <col min="12801" max="12810" width="10.7109375" customWidth="1"/>
    <col min="13057" max="13066" width="10.7109375" customWidth="1"/>
    <col min="13313" max="13322" width="10.7109375" customWidth="1"/>
    <col min="13569" max="13578" width="10.7109375" customWidth="1"/>
    <col min="13825" max="13834" width="10.7109375" customWidth="1"/>
    <col min="14081" max="14090" width="10.7109375" customWidth="1"/>
    <col min="14337" max="14346" width="10.7109375" customWidth="1"/>
    <col min="14593" max="14602" width="10.7109375" customWidth="1"/>
    <col min="14849" max="14858" width="10.7109375" customWidth="1"/>
    <col min="15105" max="15114" width="10.7109375" customWidth="1"/>
    <col min="15361" max="15370" width="10.7109375" customWidth="1"/>
    <col min="15617" max="15626" width="10.7109375" customWidth="1"/>
    <col min="15873" max="15882" width="10.7109375" customWidth="1"/>
    <col min="16129" max="16138" width="10.7109375" customWidth="1"/>
  </cols>
  <sheetData>
    <row r="1" spans="1:17" ht="57" customHeight="1" x14ac:dyDescent="0.25">
      <c r="A1" s="323"/>
      <c r="B1" s="324"/>
      <c r="C1" s="324"/>
      <c r="D1" s="324"/>
      <c r="E1" s="324"/>
      <c r="F1" s="324"/>
      <c r="G1" s="324"/>
      <c r="H1" s="324"/>
      <c r="I1" s="324"/>
      <c r="J1" s="324"/>
    </row>
    <row r="2" spans="1:17" ht="39" customHeight="1" x14ac:dyDescent="0.25">
      <c r="A2" s="312" t="s">
        <v>255</v>
      </c>
      <c r="B2" s="300"/>
      <c r="C2" s="300"/>
      <c r="D2" s="300"/>
      <c r="E2" s="300"/>
      <c r="F2" s="300"/>
      <c r="G2" s="300"/>
      <c r="H2" s="300"/>
      <c r="I2" s="300"/>
      <c r="J2" s="300"/>
    </row>
    <row r="4" spans="1:17" x14ac:dyDescent="0.25">
      <c r="A4" s="313" t="s">
        <v>256</v>
      </c>
      <c r="B4" s="313"/>
      <c r="C4" s="313"/>
      <c r="D4" s="313"/>
      <c r="E4" s="313"/>
      <c r="F4" s="313"/>
      <c r="G4" s="313"/>
      <c r="H4" s="313"/>
      <c r="I4" s="313"/>
      <c r="J4" s="313"/>
    </row>
    <row r="5" spans="1:17" x14ac:dyDescent="0.25">
      <c r="A5" s="314" t="s">
        <v>293</v>
      </c>
      <c r="B5" s="314"/>
      <c r="C5" s="314"/>
      <c r="D5" s="314"/>
      <c r="E5" s="314"/>
      <c r="F5" s="314"/>
      <c r="G5" s="314"/>
      <c r="H5" s="314"/>
      <c r="I5" s="314"/>
      <c r="J5" s="314"/>
    </row>
    <row r="6" spans="1:17" x14ac:dyDescent="0.25">
      <c r="A6" s="88" t="s">
        <v>321</v>
      </c>
      <c r="B6" s="88"/>
      <c r="C6" s="88"/>
      <c r="D6" s="88"/>
      <c r="E6" s="88"/>
      <c r="F6" s="88"/>
      <c r="G6" s="88"/>
      <c r="H6" s="88"/>
      <c r="I6" s="88"/>
      <c r="J6" s="88"/>
    </row>
    <row r="7" spans="1:17" x14ac:dyDescent="0.25">
      <c r="A7" s="315" t="s">
        <v>257</v>
      </c>
      <c r="B7" s="315"/>
      <c r="C7" s="315"/>
      <c r="D7" s="315"/>
      <c r="E7" s="315"/>
      <c r="F7" s="315"/>
      <c r="G7" s="315"/>
      <c r="H7" s="315"/>
      <c r="I7" s="311">
        <v>1</v>
      </c>
      <c r="J7" s="311"/>
    </row>
    <row r="8" spans="1:17" x14ac:dyDescent="0.25">
      <c r="A8" s="310" t="s">
        <v>258</v>
      </c>
      <c r="B8" s="310"/>
      <c r="C8" s="310"/>
      <c r="D8" s="310"/>
      <c r="E8" s="310"/>
      <c r="F8" s="310"/>
      <c r="G8" s="310"/>
      <c r="H8" s="310"/>
      <c r="I8" s="311">
        <v>0.03</v>
      </c>
      <c r="J8" s="311"/>
    </row>
    <row r="9" spans="1:17" x14ac:dyDescent="0.25">
      <c r="A9" s="89"/>
      <c r="B9" s="89"/>
      <c r="C9" s="89"/>
      <c r="D9" s="89"/>
      <c r="E9" s="89"/>
      <c r="F9" s="89"/>
      <c r="G9" s="89"/>
      <c r="H9" s="89"/>
      <c r="I9" s="89"/>
      <c r="J9" s="89"/>
    </row>
    <row r="10" spans="1:17" x14ac:dyDescent="0.25">
      <c r="A10" s="90"/>
      <c r="B10" s="90"/>
      <c r="C10" s="90"/>
      <c r="D10" s="90"/>
      <c r="E10" s="90"/>
      <c r="F10" s="90"/>
      <c r="G10" s="90"/>
      <c r="H10" s="90"/>
      <c r="I10" s="90"/>
      <c r="J10" s="90"/>
    </row>
    <row r="11" spans="1:17" ht="15.75" x14ac:dyDescent="0.25">
      <c r="A11" s="316" t="s">
        <v>259</v>
      </c>
      <c r="B11" s="316"/>
      <c r="C11" s="316"/>
      <c r="D11" s="316"/>
      <c r="E11" s="316"/>
      <c r="F11" s="316"/>
      <c r="G11" s="316"/>
      <c r="H11" s="316"/>
      <c r="I11" s="316"/>
      <c r="J11" s="316"/>
    </row>
    <row r="12" spans="1:17" x14ac:dyDescent="0.25">
      <c r="A12" s="90"/>
      <c r="B12" s="90"/>
      <c r="C12" s="90"/>
      <c r="D12" s="90"/>
      <c r="E12" s="90"/>
      <c r="F12" s="90"/>
      <c r="G12" s="90"/>
      <c r="H12" s="90"/>
      <c r="I12" s="90"/>
      <c r="J12" s="90"/>
    </row>
    <row r="13" spans="1:17" x14ac:dyDescent="0.25">
      <c r="A13" s="313" t="s">
        <v>260</v>
      </c>
      <c r="B13" s="313"/>
      <c r="C13" s="313"/>
      <c r="D13" s="313"/>
      <c r="E13" s="313"/>
      <c r="F13" s="313"/>
      <c r="G13" s="313"/>
      <c r="H13" s="313"/>
      <c r="I13" s="313"/>
      <c r="J13" s="313"/>
    </row>
    <row r="14" spans="1:17" x14ac:dyDescent="0.25">
      <c r="A14" s="317" t="s">
        <v>261</v>
      </c>
      <c r="B14" s="317"/>
      <c r="C14" s="317"/>
      <c r="D14" s="317"/>
      <c r="E14" s="317"/>
      <c r="F14" s="317"/>
      <c r="G14" s="317"/>
      <c r="H14" s="317"/>
      <c r="I14" s="317"/>
      <c r="J14" s="317"/>
    </row>
    <row r="15" spans="1:17" x14ac:dyDescent="0.25">
      <c r="A15" s="90"/>
      <c r="B15" s="90"/>
      <c r="C15" s="90"/>
      <c r="D15" s="90"/>
      <c r="E15" s="90"/>
      <c r="F15" s="90"/>
      <c r="G15" s="90"/>
      <c r="H15" s="90"/>
      <c r="I15" s="90"/>
      <c r="J15" s="90"/>
    </row>
    <row r="16" spans="1:17" ht="12.75" customHeight="1" x14ac:dyDescent="0.25">
      <c r="A16" s="318" t="s">
        <v>262</v>
      </c>
      <c r="B16" s="318"/>
      <c r="C16" s="318"/>
      <c r="D16" s="318"/>
      <c r="E16" s="318"/>
      <c r="F16" s="318"/>
      <c r="G16" s="318"/>
      <c r="H16" s="318"/>
      <c r="I16" s="318" t="s">
        <v>263</v>
      </c>
      <c r="J16" s="319" t="s">
        <v>264</v>
      </c>
      <c r="L16" s="319" t="s">
        <v>265</v>
      </c>
      <c r="M16" s="319"/>
      <c r="N16" s="319"/>
      <c r="O16" s="320" t="s">
        <v>266</v>
      </c>
      <c r="P16" s="320" t="s">
        <v>267</v>
      </c>
      <c r="Q16" s="320" t="s">
        <v>268</v>
      </c>
    </row>
    <row r="17" spans="1:17" ht="12.75" customHeight="1" x14ac:dyDescent="0.25">
      <c r="A17" s="318"/>
      <c r="B17" s="318"/>
      <c r="C17" s="318"/>
      <c r="D17" s="318"/>
      <c r="E17" s="318"/>
      <c r="F17" s="318"/>
      <c r="G17" s="318"/>
      <c r="H17" s="318"/>
      <c r="I17" s="318"/>
      <c r="J17" s="319"/>
      <c r="L17" s="319"/>
      <c r="M17" s="319"/>
      <c r="N17" s="319"/>
      <c r="O17" s="320"/>
      <c r="P17" s="320"/>
      <c r="Q17" s="320"/>
    </row>
    <row r="18" spans="1:17" x14ac:dyDescent="0.25">
      <c r="A18" s="321" t="str">
        <f>IF($J$20=$A$142,"Encargos Sociais incidentes sobre a mão de obra","Administração Central")</f>
        <v>Administração Central</v>
      </c>
      <c r="B18" s="321"/>
      <c r="C18" s="321"/>
      <c r="D18" s="321"/>
      <c r="E18" s="321"/>
      <c r="F18" s="321"/>
      <c r="G18" s="321"/>
      <c r="H18" s="321"/>
      <c r="I18" s="91" t="s">
        <v>269</v>
      </c>
      <c r="J18" s="92">
        <v>3.4299999999999997E-2</v>
      </c>
      <c r="L18" s="322" t="s">
        <v>270</v>
      </c>
      <c r="M18" s="322"/>
      <c r="N18" s="322"/>
      <c r="O18" s="93">
        <v>0.03</v>
      </c>
      <c r="P18" s="93">
        <v>0.04</v>
      </c>
      <c r="Q18" s="93">
        <v>5.5E-2</v>
      </c>
    </row>
    <row r="19" spans="1:17" x14ac:dyDescent="0.25">
      <c r="A19" s="321" t="str">
        <f>IF($J$20=$A$142,"Administração Central da empresa ou consultoria - overhead","Seguro e Garantia")</f>
        <v>Seguro e Garantia</v>
      </c>
      <c r="B19" s="321"/>
      <c r="C19" s="321"/>
      <c r="D19" s="321"/>
      <c r="E19" s="321"/>
      <c r="F19" s="321"/>
      <c r="G19" s="321"/>
      <c r="H19" s="321"/>
      <c r="I19" s="91" t="s">
        <v>271</v>
      </c>
      <c r="J19" s="92">
        <v>8.0000000000000002E-3</v>
      </c>
      <c r="L19" s="322" t="s">
        <v>270</v>
      </c>
      <c r="M19" s="322"/>
      <c r="N19" s="322"/>
      <c r="O19" s="93">
        <v>8.0000000000000002E-3</v>
      </c>
      <c r="P19" s="93">
        <v>8.0000000000000002E-3</v>
      </c>
      <c r="Q19" s="93">
        <v>0.01</v>
      </c>
    </row>
    <row r="20" spans="1:17" x14ac:dyDescent="0.25">
      <c r="A20" s="321" t="str">
        <f>IF($J$20=$A$142,"","Risco")</f>
        <v>Risco</v>
      </c>
      <c r="B20" s="321"/>
      <c r="C20" s="321"/>
      <c r="D20" s="321"/>
      <c r="E20" s="321"/>
      <c r="F20" s="321"/>
      <c r="G20" s="321"/>
      <c r="H20" s="321"/>
      <c r="I20" s="91" t="s">
        <v>272</v>
      </c>
      <c r="J20" s="92">
        <v>9.7000000000000003E-3</v>
      </c>
      <c r="L20" s="322" t="s">
        <v>270</v>
      </c>
      <c r="M20" s="322"/>
      <c r="N20" s="322"/>
      <c r="O20" s="93">
        <v>9.7000000000000003E-3</v>
      </c>
      <c r="P20" s="93">
        <v>1.2699999999999999E-2</v>
      </c>
      <c r="Q20" s="93">
        <v>1.2699999999999999E-2</v>
      </c>
    </row>
    <row r="21" spans="1:17" x14ac:dyDescent="0.25">
      <c r="A21" s="321" t="str">
        <f>IF($J$20=$A$142,"","Despesas Financeiras")</f>
        <v>Despesas Financeiras</v>
      </c>
      <c r="B21" s="321"/>
      <c r="C21" s="321"/>
      <c r="D21" s="321"/>
      <c r="E21" s="321"/>
      <c r="F21" s="321"/>
      <c r="G21" s="321"/>
      <c r="H21" s="321"/>
      <c r="I21" s="91" t="s">
        <v>273</v>
      </c>
      <c r="J21" s="92">
        <v>5.8999999999999999E-3</v>
      </c>
      <c r="L21" s="322" t="s">
        <v>270</v>
      </c>
      <c r="M21" s="322"/>
      <c r="N21" s="322"/>
      <c r="O21" s="93">
        <v>5.8999999999999999E-3</v>
      </c>
      <c r="P21" s="93">
        <v>1.23E-2</v>
      </c>
      <c r="Q21" s="93">
        <v>1.3899999999999999E-2</v>
      </c>
    </row>
    <row r="22" spans="1:17" x14ac:dyDescent="0.25">
      <c r="A22" s="321" t="str">
        <f>IF($J$20=$A$142,"Margem bruta da empresa de consultoria","Lucro")</f>
        <v>Lucro</v>
      </c>
      <c r="B22" s="321"/>
      <c r="C22" s="321"/>
      <c r="D22" s="321"/>
      <c r="E22" s="321"/>
      <c r="F22" s="321"/>
      <c r="G22" s="321"/>
      <c r="H22" s="321"/>
      <c r="I22" s="91" t="s">
        <v>274</v>
      </c>
      <c r="J22" s="92">
        <v>6.1600000000000002E-2</v>
      </c>
      <c r="L22" s="322" t="s">
        <v>270</v>
      </c>
      <c r="M22" s="322"/>
      <c r="N22" s="322"/>
      <c r="O22" s="93">
        <v>6.1600000000000002E-2</v>
      </c>
      <c r="P22" s="93">
        <v>7.3999999999999996E-2</v>
      </c>
      <c r="Q22" s="93">
        <v>8.9599999999999999E-2</v>
      </c>
    </row>
    <row r="23" spans="1:17" x14ac:dyDescent="0.25">
      <c r="A23" s="321" t="s">
        <v>275</v>
      </c>
      <c r="B23" s="321"/>
      <c r="C23" s="321"/>
      <c r="D23" s="321"/>
      <c r="E23" s="321"/>
      <c r="F23" s="321"/>
      <c r="G23" s="321"/>
      <c r="H23" s="321"/>
      <c r="I23" s="91" t="s">
        <v>276</v>
      </c>
      <c r="J23" s="92">
        <v>3.6499999999999998E-2</v>
      </c>
      <c r="L23" s="322" t="s">
        <v>270</v>
      </c>
      <c r="M23" s="322"/>
      <c r="N23" s="322"/>
      <c r="O23" s="93">
        <v>3.6499999999999998E-2</v>
      </c>
      <c r="P23" s="93">
        <v>3.6499999999999998E-2</v>
      </c>
      <c r="Q23" s="93">
        <v>3.6499999999999998E-2</v>
      </c>
    </row>
    <row r="24" spans="1:17" x14ac:dyDescent="0.25">
      <c r="A24" s="321" t="s">
        <v>277</v>
      </c>
      <c r="B24" s="321"/>
      <c r="C24" s="321"/>
      <c r="D24" s="321"/>
      <c r="E24" s="321"/>
      <c r="F24" s="321"/>
      <c r="G24" s="321"/>
      <c r="H24" s="321"/>
      <c r="I24" s="91" t="s">
        <v>278</v>
      </c>
      <c r="J24" s="93">
        <v>0.03</v>
      </c>
      <c r="L24" s="322" t="s">
        <v>270</v>
      </c>
      <c r="M24" s="322"/>
      <c r="N24" s="322"/>
      <c r="O24" s="93">
        <v>0</v>
      </c>
      <c r="P24" s="93">
        <v>2.5000000000000001E-2</v>
      </c>
      <c r="Q24" s="93">
        <v>0.05</v>
      </c>
    </row>
    <row r="25" spans="1:17" ht="32.25" customHeight="1" x14ac:dyDescent="0.25">
      <c r="A25" s="321" t="s">
        <v>279</v>
      </c>
      <c r="B25" s="321"/>
      <c r="C25" s="321"/>
      <c r="D25" s="321"/>
      <c r="E25" s="321"/>
      <c r="F25" s="321"/>
      <c r="G25" s="321"/>
      <c r="H25" s="321"/>
      <c r="I25" s="91" t="s">
        <v>280</v>
      </c>
      <c r="J25" s="93">
        <v>4.4999999999999998E-2</v>
      </c>
      <c r="L25" s="322" t="s">
        <v>270</v>
      </c>
      <c r="M25" s="322"/>
      <c r="N25" s="322"/>
      <c r="O25" s="94">
        <v>0</v>
      </c>
      <c r="P25" s="94">
        <v>4.4999999999999998E-2</v>
      </c>
      <c r="Q25" s="94">
        <v>4.4999999999999998E-2</v>
      </c>
    </row>
    <row r="26" spans="1:17" x14ac:dyDescent="0.25">
      <c r="A26" s="321" t="s">
        <v>281</v>
      </c>
      <c r="B26" s="321"/>
      <c r="C26" s="321"/>
      <c r="D26" s="321"/>
      <c r="E26" s="321"/>
      <c r="F26" s="321"/>
      <c r="G26" s="321"/>
      <c r="H26" s="321"/>
      <c r="I26" s="95" t="s">
        <v>282</v>
      </c>
      <c r="J26" s="93">
        <f>(((1+J18+J19+J20)*(1+J21)*(1+J22))/(1-J23-J24))-1</f>
        <v>0.20341975241564003</v>
      </c>
      <c r="L26" s="319" t="s">
        <v>283</v>
      </c>
      <c r="M26" s="319"/>
      <c r="N26" s="319"/>
      <c r="O26" s="93">
        <v>0.2034</v>
      </c>
      <c r="P26" s="93">
        <v>0.22120000000000001</v>
      </c>
      <c r="Q26" s="93">
        <v>0.25</v>
      </c>
    </row>
    <row r="27" spans="1:17" x14ac:dyDescent="0.25">
      <c r="A27" s="327" t="s">
        <v>284</v>
      </c>
      <c r="B27" s="327"/>
      <c r="C27" s="327"/>
      <c r="D27" s="327"/>
      <c r="E27" s="327"/>
      <c r="F27" s="327"/>
      <c r="G27" s="327"/>
      <c r="H27" s="327"/>
      <c r="I27" s="96" t="s">
        <v>285</v>
      </c>
      <c r="J27" s="97">
        <f>(((1+J18+J19+J20)*(1+J21)*(1+J22))/(1-J23-J24-J25))-1</f>
        <v>0.26436954291502546</v>
      </c>
    </row>
    <row r="28" spans="1:17" x14ac:dyDescent="0.25">
      <c r="A28" s="90"/>
      <c r="B28" s="90"/>
      <c r="C28" s="90"/>
      <c r="D28" s="90"/>
      <c r="E28" s="90"/>
      <c r="F28" s="90"/>
      <c r="G28" s="90"/>
      <c r="H28" s="90"/>
      <c r="I28" s="90"/>
      <c r="J28" s="90"/>
    </row>
    <row r="29" spans="1:17" ht="15.75" x14ac:dyDescent="0.25">
      <c r="A29" s="98"/>
      <c r="B29" s="328"/>
      <c r="C29" s="328"/>
      <c r="D29" s="328"/>
      <c r="E29" s="328"/>
      <c r="F29" s="328"/>
      <c r="G29" s="328"/>
      <c r="H29" s="328"/>
      <c r="I29" s="328"/>
      <c r="J29" s="328"/>
    </row>
    <row r="30" spans="1:17" x14ac:dyDescent="0.25">
      <c r="A30" s="90"/>
      <c r="B30" s="90"/>
      <c r="C30" s="90"/>
      <c r="D30" s="90"/>
      <c r="E30" s="90"/>
      <c r="F30" s="90"/>
      <c r="G30" s="90"/>
      <c r="H30" s="90"/>
      <c r="I30" s="90"/>
      <c r="J30" s="90"/>
    </row>
    <row r="31" spans="1:17" x14ac:dyDescent="0.25">
      <c r="A31" s="329" t="s">
        <v>286</v>
      </c>
      <c r="B31" s="329"/>
      <c r="C31" s="329"/>
      <c r="D31" s="329"/>
      <c r="E31" s="329"/>
      <c r="F31" s="329"/>
      <c r="G31" s="329"/>
      <c r="H31" s="329"/>
      <c r="I31" s="329"/>
      <c r="J31" s="329"/>
    </row>
    <row r="32" spans="1:17" x14ac:dyDescent="0.25">
      <c r="A32" s="99"/>
      <c r="B32" s="99"/>
      <c r="C32" s="99"/>
      <c r="D32" s="99"/>
      <c r="E32" s="99"/>
      <c r="F32" s="99"/>
      <c r="G32" s="99"/>
      <c r="H32" s="99"/>
      <c r="I32" s="99"/>
      <c r="J32" s="99"/>
    </row>
    <row r="33" spans="1:10" ht="15.75" x14ac:dyDescent="0.25">
      <c r="A33" s="100"/>
      <c r="B33" s="100"/>
      <c r="C33" s="100"/>
      <c r="D33" s="101" t="s">
        <v>287</v>
      </c>
      <c r="E33" s="330" t="s">
        <v>288</v>
      </c>
      <c r="F33" s="330"/>
      <c r="G33" s="330"/>
      <c r="H33" s="102"/>
      <c r="I33" s="100"/>
      <c r="J33" s="100"/>
    </row>
    <row r="34" spans="1:10" ht="15.75" x14ac:dyDescent="0.25">
      <c r="A34" s="100"/>
      <c r="B34" s="100"/>
      <c r="C34" s="100"/>
      <c r="D34" s="102"/>
      <c r="E34" s="331" t="s">
        <v>289</v>
      </c>
      <c r="F34" s="331"/>
      <c r="G34" s="331"/>
      <c r="H34" s="102"/>
      <c r="I34" s="100"/>
      <c r="J34" s="100"/>
    </row>
    <row r="35" spans="1:10" x14ac:dyDescent="0.25">
      <c r="A35" s="103"/>
      <c r="B35" s="103"/>
      <c r="C35" s="103"/>
      <c r="D35" s="103"/>
      <c r="E35" s="103"/>
      <c r="F35" s="103"/>
      <c r="G35" s="103"/>
      <c r="H35" s="103"/>
      <c r="I35" s="103"/>
      <c r="J35" s="103"/>
    </row>
    <row r="36" spans="1:10" ht="27" customHeight="1" x14ac:dyDescent="0.25">
      <c r="A36" s="332" t="s">
        <v>290</v>
      </c>
      <c r="B36" s="332"/>
      <c r="C36" s="332"/>
      <c r="D36" s="332"/>
      <c r="E36" s="332"/>
      <c r="F36" s="332"/>
      <c r="G36" s="332"/>
      <c r="H36" s="332"/>
      <c r="I36" s="332"/>
      <c r="J36" s="332"/>
    </row>
    <row r="37" spans="1:10" x14ac:dyDescent="0.25">
      <c r="A37" s="90"/>
      <c r="B37" s="90"/>
      <c r="C37" s="90"/>
      <c r="D37" s="90"/>
      <c r="E37" s="90"/>
      <c r="F37" s="90"/>
      <c r="G37" s="90"/>
      <c r="H37" s="90"/>
      <c r="I37" s="90"/>
      <c r="J37" s="90"/>
    </row>
    <row r="38" spans="1:10" ht="25.5" customHeight="1" x14ac:dyDescent="0.25">
      <c r="A38" s="332" t="s">
        <v>291</v>
      </c>
      <c r="B38" s="332"/>
      <c r="C38" s="332"/>
      <c r="D38" s="332"/>
      <c r="E38" s="332"/>
      <c r="F38" s="332"/>
      <c r="G38" s="332"/>
      <c r="H38" s="332"/>
      <c r="I38" s="332"/>
      <c r="J38" s="332"/>
    </row>
    <row r="39" spans="1:10" x14ac:dyDescent="0.25">
      <c r="A39" s="90"/>
      <c r="B39" s="90"/>
      <c r="C39" s="90"/>
      <c r="D39" s="90"/>
      <c r="E39" s="90"/>
      <c r="F39" s="90"/>
      <c r="G39" s="90"/>
      <c r="H39" s="90"/>
      <c r="I39" s="90"/>
      <c r="J39" s="90"/>
    </row>
    <row r="40" spans="1:10" x14ac:dyDescent="0.25">
      <c r="A40" s="90" t="s">
        <v>229</v>
      </c>
      <c r="B40" s="90"/>
      <c r="C40" s="90"/>
      <c r="D40" s="90"/>
      <c r="E40" s="90"/>
      <c r="F40" s="90"/>
      <c r="G40" s="90"/>
      <c r="H40" s="90"/>
      <c r="I40" s="90"/>
      <c r="J40" s="90"/>
    </row>
    <row r="41" spans="1:10" x14ac:dyDescent="0.25">
      <c r="A41" s="326"/>
      <c r="B41" s="326"/>
      <c r="C41" s="326"/>
      <c r="D41" s="326"/>
      <c r="E41" s="326"/>
      <c r="F41" s="326"/>
      <c r="G41" s="326"/>
      <c r="H41" s="326"/>
      <c r="I41" s="326"/>
      <c r="J41" s="326"/>
    </row>
    <row r="42" spans="1:10" x14ac:dyDescent="0.25">
      <c r="A42" s="90"/>
      <c r="B42" s="90"/>
      <c r="C42" s="90"/>
      <c r="D42" s="90"/>
      <c r="E42" s="90"/>
      <c r="F42" s="90"/>
      <c r="G42" s="90"/>
      <c r="H42" s="90"/>
      <c r="I42" s="90"/>
      <c r="J42" s="90"/>
    </row>
    <row r="45" spans="1:10" x14ac:dyDescent="0.25">
      <c r="A45" s="325"/>
      <c r="B45" s="325"/>
      <c r="C45" s="325"/>
      <c r="D45" s="325"/>
      <c r="E45" s="106"/>
      <c r="F45" s="106"/>
      <c r="G45" s="106"/>
      <c r="H45" s="106"/>
      <c r="I45" s="106"/>
    </row>
    <row r="46" spans="1:10" x14ac:dyDescent="0.25">
      <c r="A46" s="107"/>
      <c r="B46" s="107"/>
      <c r="C46" s="107"/>
      <c r="D46" s="107"/>
      <c r="E46" s="107"/>
      <c r="F46" s="106"/>
      <c r="G46" s="106"/>
      <c r="H46" s="106"/>
      <c r="I46" s="106"/>
    </row>
    <row r="47" spans="1:10" x14ac:dyDescent="0.25">
      <c r="B47" s="108"/>
      <c r="C47" s="109" t="s">
        <v>318</v>
      </c>
      <c r="D47" s="109"/>
      <c r="E47" s="110"/>
      <c r="F47" s="111"/>
      <c r="G47" s="111"/>
      <c r="H47" s="111"/>
      <c r="I47" s="106"/>
    </row>
    <row r="48" spans="1:10" x14ac:dyDescent="0.25">
      <c r="C48" s="112" t="s">
        <v>319</v>
      </c>
      <c r="D48" s="113"/>
      <c r="E48" s="114"/>
      <c r="F48" s="106"/>
      <c r="G48" s="106"/>
      <c r="H48" s="106"/>
      <c r="I48" s="106"/>
    </row>
    <row r="49" spans="3:9" x14ac:dyDescent="0.25">
      <c r="C49" s="115" t="s">
        <v>322</v>
      </c>
      <c r="D49" s="113"/>
      <c r="E49" s="112" t="s">
        <v>320</v>
      </c>
      <c r="F49" s="106"/>
      <c r="G49" s="106"/>
      <c r="H49" s="106"/>
      <c r="I49" s="106"/>
    </row>
  </sheetData>
  <mergeCells count="45">
    <mergeCell ref="A1:J1"/>
    <mergeCell ref="A45:D45"/>
    <mergeCell ref="A41:J41"/>
    <mergeCell ref="A25:H25"/>
    <mergeCell ref="L25:N25"/>
    <mergeCell ref="A26:H26"/>
    <mergeCell ref="L26:N26"/>
    <mergeCell ref="A27:H27"/>
    <mergeCell ref="B29:J29"/>
    <mergeCell ref="A31:J31"/>
    <mergeCell ref="E33:G33"/>
    <mergeCell ref="E34:G34"/>
    <mergeCell ref="A36:J36"/>
    <mergeCell ref="A38:J38"/>
    <mergeCell ref="A22:H22"/>
    <mergeCell ref="L22:N22"/>
    <mergeCell ref="A23:H23"/>
    <mergeCell ref="L23:N23"/>
    <mergeCell ref="A24:H24"/>
    <mergeCell ref="L24:N24"/>
    <mergeCell ref="A19:H19"/>
    <mergeCell ref="L19:N19"/>
    <mergeCell ref="A20:H20"/>
    <mergeCell ref="L20:N20"/>
    <mergeCell ref="A21:H21"/>
    <mergeCell ref="L21:N21"/>
    <mergeCell ref="L16:N17"/>
    <mergeCell ref="O16:O17"/>
    <mergeCell ref="P16:P17"/>
    <mergeCell ref="Q16:Q17"/>
    <mergeCell ref="A18:H18"/>
    <mergeCell ref="L18:N18"/>
    <mergeCell ref="A11:J11"/>
    <mergeCell ref="A13:J13"/>
    <mergeCell ref="A14:J14"/>
    <mergeCell ref="A16:H17"/>
    <mergeCell ref="I16:I17"/>
    <mergeCell ref="J16:J17"/>
    <mergeCell ref="A8:H8"/>
    <mergeCell ref="I8:J8"/>
    <mergeCell ref="A2:J2"/>
    <mergeCell ref="A4:J4"/>
    <mergeCell ref="A5:J5"/>
    <mergeCell ref="A7:H7"/>
    <mergeCell ref="I7:J7"/>
  </mergeCells>
  <conditionalFormatting sqref="A27:J27">
    <cfRule type="expression" dxfId="2" priority="3" stopIfTrue="1">
      <formula>DESONERACAO="não"</formula>
    </cfRule>
  </conditionalFormatting>
  <conditionalFormatting sqref="J26">
    <cfRule type="expression" dxfId="1" priority="2" stopIfTrue="1">
      <formula>DESONERACAO="não"</formula>
    </cfRule>
  </conditionalFormatting>
  <conditionalFormatting sqref="L26:N26">
    <cfRule type="cellIs" dxfId="0" priority="1" stopIfTrue="1" operator="equal">
      <formula>"OK"</formula>
    </cfRule>
  </conditionalFormatting>
  <dataValidations count="5">
    <dataValidation type="decimal" allowBlank="1" showInputMessage="1" showErrorMessage="1" errorTitle="Valor não permitido" error="Digite um percentual entre 0% e 100%." promptTitle="Valores admissíveis:" prompt="Insira valores entre 0 e 100%." sqref="I7:J7 JE7:JF7 TA7:TB7 ACW7:ACX7 AMS7:AMT7 AWO7:AWP7 BGK7:BGL7 BQG7:BQH7 CAC7:CAD7 CJY7:CJZ7 CTU7:CTV7 DDQ7:DDR7 DNM7:DNN7 DXI7:DXJ7 EHE7:EHF7 ERA7:ERB7 FAW7:FAX7 FKS7:FKT7 FUO7:FUP7 GEK7:GEL7 GOG7:GOH7 GYC7:GYD7 HHY7:HHZ7 HRU7:HRV7 IBQ7:IBR7 ILM7:ILN7 IVI7:IVJ7 JFE7:JFF7 JPA7:JPB7 JYW7:JYX7 KIS7:KIT7 KSO7:KSP7 LCK7:LCL7 LMG7:LMH7 LWC7:LWD7 MFY7:MFZ7 MPU7:MPV7 MZQ7:MZR7 NJM7:NJN7 NTI7:NTJ7 ODE7:ODF7 ONA7:ONB7 OWW7:OWX7 PGS7:PGT7 PQO7:PQP7 QAK7:QAL7 QKG7:QKH7 QUC7:QUD7 RDY7:RDZ7 RNU7:RNV7 RXQ7:RXR7 SHM7:SHN7 SRI7:SRJ7 TBE7:TBF7 TLA7:TLB7 TUW7:TUX7 UES7:UET7 UOO7:UOP7 UYK7:UYL7 VIG7:VIH7 VSC7:VSD7 WBY7:WBZ7 WLU7:WLV7 WVQ7:WVR7 I65534:J65534 JE65534:JF65534 TA65534:TB65534 ACW65534:ACX65534 AMS65534:AMT65534 AWO65534:AWP65534 BGK65534:BGL65534 BQG65534:BQH65534 CAC65534:CAD65534 CJY65534:CJZ65534 CTU65534:CTV65534 DDQ65534:DDR65534 DNM65534:DNN65534 DXI65534:DXJ65534 EHE65534:EHF65534 ERA65534:ERB65534 FAW65534:FAX65534 FKS65534:FKT65534 FUO65534:FUP65534 GEK65534:GEL65534 GOG65534:GOH65534 GYC65534:GYD65534 HHY65534:HHZ65534 HRU65534:HRV65534 IBQ65534:IBR65534 ILM65534:ILN65534 IVI65534:IVJ65534 JFE65534:JFF65534 JPA65534:JPB65534 JYW65534:JYX65534 KIS65534:KIT65534 KSO65534:KSP65534 LCK65534:LCL65534 LMG65534:LMH65534 LWC65534:LWD65534 MFY65534:MFZ65534 MPU65534:MPV65534 MZQ65534:MZR65534 NJM65534:NJN65534 NTI65534:NTJ65534 ODE65534:ODF65534 ONA65534:ONB65534 OWW65534:OWX65534 PGS65534:PGT65534 PQO65534:PQP65534 QAK65534:QAL65534 QKG65534:QKH65534 QUC65534:QUD65534 RDY65534:RDZ65534 RNU65534:RNV65534 RXQ65534:RXR65534 SHM65534:SHN65534 SRI65534:SRJ65534 TBE65534:TBF65534 TLA65534:TLB65534 TUW65534:TUX65534 UES65534:UET65534 UOO65534:UOP65534 UYK65534:UYL65534 VIG65534:VIH65534 VSC65534:VSD65534 WBY65534:WBZ65534 WLU65534:WLV65534 WVQ65534:WVR65534 I131070:J131070 JE131070:JF131070 TA131070:TB131070 ACW131070:ACX131070 AMS131070:AMT131070 AWO131070:AWP131070 BGK131070:BGL131070 BQG131070:BQH131070 CAC131070:CAD131070 CJY131070:CJZ131070 CTU131070:CTV131070 DDQ131070:DDR131070 DNM131070:DNN131070 DXI131070:DXJ131070 EHE131070:EHF131070 ERA131070:ERB131070 FAW131070:FAX131070 FKS131070:FKT131070 FUO131070:FUP131070 GEK131070:GEL131070 GOG131070:GOH131070 GYC131070:GYD131070 HHY131070:HHZ131070 HRU131070:HRV131070 IBQ131070:IBR131070 ILM131070:ILN131070 IVI131070:IVJ131070 JFE131070:JFF131070 JPA131070:JPB131070 JYW131070:JYX131070 KIS131070:KIT131070 KSO131070:KSP131070 LCK131070:LCL131070 LMG131070:LMH131070 LWC131070:LWD131070 MFY131070:MFZ131070 MPU131070:MPV131070 MZQ131070:MZR131070 NJM131070:NJN131070 NTI131070:NTJ131070 ODE131070:ODF131070 ONA131070:ONB131070 OWW131070:OWX131070 PGS131070:PGT131070 PQO131070:PQP131070 QAK131070:QAL131070 QKG131070:QKH131070 QUC131070:QUD131070 RDY131070:RDZ131070 RNU131070:RNV131070 RXQ131070:RXR131070 SHM131070:SHN131070 SRI131070:SRJ131070 TBE131070:TBF131070 TLA131070:TLB131070 TUW131070:TUX131070 UES131070:UET131070 UOO131070:UOP131070 UYK131070:UYL131070 VIG131070:VIH131070 VSC131070:VSD131070 WBY131070:WBZ131070 WLU131070:WLV131070 WVQ131070:WVR131070 I196606:J196606 JE196606:JF196606 TA196606:TB196606 ACW196606:ACX196606 AMS196606:AMT196606 AWO196606:AWP196606 BGK196606:BGL196606 BQG196606:BQH196606 CAC196606:CAD196606 CJY196606:CJZ196606 CTU196606:CTV196606 DDQ196606:DDR196606 DNM196606:DNN196606 DXI196606:DXJ196606 EHE196606:EHF196606 ERA196606:ERB196606 FAW196606:FAX196606 FKS196606:FKT196606 FUO196606:FUP196606 GEK196606:GEL196606 GOG196606:GOH196606 GYC196606:GYD196606 HHY196606:HHZ196606 HRU196606:HRV196606 IBQ196606:IBR196606 ILM196606:ILN196606 IVI196606:IVJ196606 JFE196606:JFF196606 JPA196606:JPB196606 JYW196606:JYX196606 KIS196606:KIT196606 KSO196606:KSP196606 LCK196606:LCL196606 LMG196606:LMH196606 LWC196606:LWD196606 MFY196606:MFZ196606 MPU196606:MPV196606 MZQ196606:MZR196606 NJM196606:NJN196606 NTI196606:NTJ196606 ODE196606:ODF196606 ONA196606:ONB196606 OWW196606:OWX196606 PGS196606:PGT196606 PQO196606:PQP196606 QAK196606:QAL196606 QKG196606:QKH196606 QUC196606:QUD196606 RDY196606:RDZ196606 RNU196606:RNV196606 RXQ196606:RXR196606 SHM196606:SHN196606 SRI196606:SRJ196606 TBE196606:TBF196606 TLA196606:TLB196606 TUW196606:TUX196606 UES196606:UET196606 UOO196606:UOP196606 UYK196606:UYL196606 VIG196606:VIH196606 VSC196606:VSD196606 WBY196606:WBZ196606 WLU196606:WLV196606 WVQ196606:WVR196606 I262142:J262142 JE262142:JF262142 TA262142:TB262142 ACW262142:ACX262142 AMS262142:AMT262142 AWO262142:AWP262142 BGK262142:BGL262142 BQG262142:BQH262142 CAC262142:CAD262142 CJY262142:CJZ262142 CTU262142:CTV262142 DDQ262142:DDR262142 DNM262142:DNN262142 DXI262142:DXJ262142 EHE262142:EHF262142 ERA262142:ERB262142 FAW262142:FAX262142 FKS262142:FKT262142 FUO262142:FUP262142 GEK262142:GEL262142 GOG262142:GOH262142 GYC262142:GYD262142 HHY262142:HHZ262142 HRU262142:HRV262142 IBQ262142:IBR262142 ILM262142:ILN262142 IVI262142:IVJ262142 JFE262142:JFF262142 JPA262142:JPB262142 JYW262142:JYX262142 KIS262142:KIT262142 KSO262142:KSP262142 LCK262142:LCL262142 LMG262142:LMH262142 LWC262142:LWD262142 MFY262142:MFZ262142 MPU262142:MPV262142 MZQ262142:MZR262142 NJM262142:NJN262142 NTI262142:NTJ262142 ODE262142:ODF262142 ONA262142:ONB262142 OWW262142:OWX262142 PGS262142:PGT262142 PQO262142:PQP262142 QAK262142:QAL262142 QKG262142:QKH262142 QUC262142:QUD262142 RDY262142:RDZ262142 RNU262142:RNV262142 RXQ262142:RXR262142 SHM262142:SHN262142 SRI262142:SRJ262142 TBE262142:TBF262142 TLA262142:TLB262142 TUW262142:TUX262142 UES262142:UET262142 UOO262142:UOP262142 UYK262142:UYL262142 VIG262142:VIH262142 VSC262142:VSD262142 WBY262142:WBZ262142 WLU262142:WLV262142 WVQ262142:WVR262142 I327678:J327678 JE327678:JF327678 TA327678:TB327678 ACW327678:ACX327678 AMS327678:AMT327678 AWO327678:AWP327678 BGK327678:BGL327678 BQG327678:BQH327678 CAC327678:CAD327678 CJY327678:CJZ327678 CTU327678:CTV327678 DDQ327678:DDR327678 DNM327678:DNN327678 DXI327678:DXJ327678 EHE327678:EHF327678 ERA327678:ERB327678 FAW327678:FAX327678 FKS327678:FKT327678 FUO327678:FUP327678 GEK327678:GEL327678 GOG327678:GOH327678 GYC327678:GYD327678 HHY327678:HHZ327678 HRU327678:HRV327678 IBQ327678:IBR327678 ILM327678:ILN327678 IVI327678:IVJ327678 JFE327678:JFF327678 JPA327678:JPB327678 JYW327678:JYX327678 KIS327678:KIT327678 KSO327678:KSP327678 LCK327678:LCL327678 LMG327678:LMH327678 LWC327678:LWD327678 MFY327678:MFZ327678 MPU327678:MPV327678 MZQ327678:MZR327678 NJM327678:NJN327678 NTI327678:NTJ327678 ODE327678:ODF327678 ONA327678:ONB327678 OWW327678:OWX327678 PGS327678:PGT327678 PQO327678:PQP327678 QAK327678:QAL327678 QKG327678:QKH327678 QUC327678:QUD327678 RDY327678:RDZ327678 RNU327678:RNV327678 RXQ327678:RXR327678 SHM327678:SHN327678 SRI327678:SRJ327678 TBE327678:TBF327678 TLA327678:TLB327678 TUW327678:TUX327678 UES327678:UET327678 UOO327678:UOP327678 UYK327678:UYL327678 VIG327678:VIH327678 VSC327678:VSD327678 WBY327678:WBZ327678 WLU327678:WLV327678 WVQ327678:WVR327678 I393214:J393214 JE393214:JF393214 TA393214:TB393214 ACW393214:ACX393214 AMS393214:AMT393214 AWO393214:AWP393214 BGK393214:BGL393214 BQG393214:BQH393214 CAC393214:CAD393214 CJY393214:CJZ393214 CTU393214:CTV393214 DDQ393214:DDR393214 DNM393214:DNN393214 DXI393214:DXJ393214 EHE393214:EHF393214 ERA393214:ERB393214 FAW393214:FAX393214 FKS393214:FKT393214 FUO393214:FUP393214 GEK393214:GEL393214 GOG393214:GOH393214 GYC393214:GYD393214 HHY393214:HHZ393214 HRU393214:HRV393214 IBQ393214:IBR393214 ILM393214:ILN393214 IVI393214:IVJ393214 JFE393214:JFF393214 JPA393214:JPB393214 JYW393214:JYX393214 KIS393214:KIT393214 KSO393214:KSP393214 LCK393214:LCL393214 LMG393214:LMH393214 LWC393214:LWD393214 MFY393214:MFZ393214 MPU393214:MPV393214 MZQ393214:MZR393214 NJM393214:NJN393214 NTI393214:NTJ393214 ODE393214:ODF393214 ONA393214:ONB393214 OWW393214:OWX393214 PGS393214:PGT393214 PQO393214:PQP393214 QAK393214:QAL393214 QKG393214:QKH393214 QUC393214:QUD393214 RDY393214:RDZ393214 RNU393214:RNV393214 RXQ393214:RXR393214 SHM393214:SHN393214 SRI393214:SRJ393214 TBE393214:TBF393214 TLA393214:TLB393214 TUW393214:TUX393214 UES393214:UET393214 UOO393214:UOP393214 UYK393214:UYL393214 VIG393214:VIH393214 VSC393214:VSD393214 WBY393214:WBZ393214 WLU393214:WLV393214 WVQ393214:WVR393214 I458750:J458750 JE458750:JF458750 TA458750:TB458750 ACW458750:ACX458750 AMS458750:AMT458750 AWO458750:AWP458750 BGK458750:BGL458750 BQG458750:BQH458750 CAC458750:CAD458750 CJY458750:CJZ458750 CTU458750:CTV458750 DDQ458750:DDR458750 DNM458750:DNN458750 DXI458750:DXJ458750 EHE458750:EHF458750 ERA458750:ERB458750 FAW458750:FAX458750 FKS458750:FKT458750 FUO458750:FUP458750 GEK458750:GEL458750 GOG458750:GOH458750 GYC458750:GYD458750 HHY458750:HHZ458750 HRU458750:HRV458750 IBQ458750:IBR458750 ILM458750:ILN458750 IVI458750:IVJ458750 JFE458750:JFF458750 JPA458750:JPB458750 JYW458750:JYX458750 KIS458750:KIT458750 KSO458750:KSP458750 LCK458750:LCL458750 LMG458750:LMH458750 LWC458750:LWD458750 MFY458750:MFZ458750 MPU458750:MPV458750 MZQ458750:MZR458750 NJM458750:NJN458750 NTI458750:NTJ458750 ODE458750:ODF458750 ONA458750:ONB458750 OWW458750:OWX458750 PGS458750:PGT458750 PQO458750:PQP458750 QAK458750:QAL458750 QKG458750:QKH458750 QUC458750:QUD458750 RDY458750:RDZ458750 RNU458750:RNV458750 RXQ458750:RXR458750 SHM458750:SHN458750 SRI458750:SRJ458750 TBE458750:TBF458750 TLA458750:TLB458750 TUW458750:TUX458750 UES458750:UET458750 UOO458750:UOP458750 UYK458750:UYL458750 VIG458750:VIH458750 VSC458750:VSD458750 WBY458750:WBZ458750 WLU458750:WLV458750 WVQ458750:WVR458750 I524286:J524286 JE524286:JF524286 TA524286:TB524286 ACW524286:ACX524286 AMS524286:AMT524286 AWO524286:AWP524286 BGK524286:BGL524286 BQG524286:BQH524286 CAC524286:CAD524286 CJY524286:CJZ524286 CTU524286:CTV524286 DDQ524286:DDR524286 DNM524286:DNN524286 DXI524286:DXJ524286 EHE524286:EHF524286 ERA524286:ERB524286 FAW524286:FAX524286 FKS524286:FKT524286 FUO524286:FUP524286 GEK524286:GEL524286 GOG524286:GOH524286 GYC524286:GYD524286 HHY524286:HHZ524286 HRU524286:HRV524286 IBQ524286:IBR524286 ILM524286:ILN524286 IVI524286:IVJ524286 JFE524286:JFF524286 JPA524286:JPB524286 JYW524286:JYX524286 KIS524286:KIT524286 KSO524286:KSP524286 LCK524286:LCL524286 LMG524286:LMH524286 LWC524286:LWD524286 MFY524286:MFZ524286 MPU524286:MPV524286 MZQ524286:MZR524286 NJM524286:NJN524286 NTI524286:NTJ524286 ODE524286:ODF524286 ONA524286:ONB524286 OWW524286:OWX524286 PGS524286:PGT524286 PQO524286:PQP524286 QAK524286:QAL524286 QKG524286:QKH524286 QUC524286:QUD524286 RDY524286:RDZ524286 RNU524286:RNV524286 RXQ524286:RXR524286 SHM524286:SHN524286 SRI524286:SRJ524286 TBE524286:TBF524286 TLA524286:TLB524286 TUW524286:TUX524286 UES524286:UET524286 UOO524286:UOP524286 UYK524286:UYL524286 VIG524286:VIH524286 VSC524286:VSD524286 WBY524286:WBZ524286 WLU524286:WLV524286 WVQ524286:WVR524286 I589822:J589822 JE589822:JF589822 TA589822:TB589822 ACW589822:ACX589822 AMS589822:AMT589822 AWO589822:AWP589822 BGK589822:BGL589822 BQG589822:BQH589822 CAC589822:CAD589822 CJY589822:CJZ589822 CTU589822:CTV589822 DDQ589822:DDR589822 DNM589822:DNN589822 DXI589822:DXJ589822 EHE589822:EHF589822 ERA589822:ERB589822 FAW589822:FAX589822 FKS589822:FKT589822 FUO589822:FUP589822 GEK589822:GEL589822 GOG589822:GOH589822 GYC589822:GYD589822 HHY589822:HHZ589822 HRU589822:HRV589822 IBQ589822:IBR589822 ILM589822:ILN589822 IVI589822:IVJ589822 JFE589822:JFF589822 JPA589822:JPB589822 JYW589822:JYX589822 KIS589822:KIT589822 KSO589822:KSP589822 LCK589822:LCL589822 LMG589822:LMH589822 LWC589822:LWD589822 MFY589822:MFZ589822 MPU589822:MPV589822 MZQ589822:MZR589822 NJM589822:NJN589822 NTI589822:NTJ589822 ODE589822:ODF589822 ONA589822:ONB589822 OWW589822:OWX589822 PGS589822:PGT589822 PQO589822:PQP589822 QAK589822:QAL589822 QKG589822:QKH589822 QUC589822:QUD589822 RDY589822:RDZ589822 RNU589822:RNV589822 RXQ589822:RXR589822 SHM589822:SHN589822 SRI589822:SRJ589822 TBE589822:TBF589822 TLA589822:TLB589822 TUW589822:TUX589822 UES589822:UET589822 UOO589822:UOP589822 UYK589822:UYL589822 VIG589822:VIH589822 VSC589822:VSD589822 WBY589822:WBZ589822 WLU589822:WLV589822 WVQ589822:WVR589822 I655358:J655358 JE655358:JF655358 TA655358:TB655358 ACW655358:ACX655358 AMS655358:AMT655358 AWO655358:AWP655358 BGK655358:BGL655358 BQG655358:BQH655358 CAC655358:CAD655358 CJY655358:CJZ655358 CTU655358:CTV655358 DDQ655358:DDR655358 DNM655358:DNN655358 DXI655358:DXJ655358 EHE655358:EHF655358 ERA655358:ERB655358 FAW655358:FAX655358 FKS655358:FKT655358 FUO655358:FUP655358 GEK655358:GEL655358 GOG655358:GOH655358 GYC655358:GYD655358 HHY655358:HHZ655358 HRU655358:HRV655358 IBQ655358:IBR655358 ILM655358:ILN655358 IVI655358:IVJ655358 JFE655358:JFF655358 JPA655358:JPB655358 JYW655358:JYX655358 KIS655358:KIT655358 KSO655358:KSP655358 LCK655358:LCL655358 LMG655358:LMH655358 LWC655358:LWD655358 MFY655358:MFZ655358 MPU655358:MPV655358 MZQ655358:MZR655358 NJM655358:NJN655358 NTI655358:NTJ655358 ODE655358:ODF655358 ONA655358:ONB655358 OWW655358:OWX655358 PGS655358:PGT655358 PQO655358:PQP655358 QAK655358:QAL655358 QKG655358:QKH655358 QUC655358:QUD655358 RDY655358:RDZ655358 RNU655358:RNV655358 RXQ655358:RXR655358 SHM655358:SHN655358 SRI655358:SRJ655358 TBE655358:TBF655358 TLA655358:TLB655358 TUW655358:TUX655358 UES655358:UET655358 UOO655358:UOP655358 UYK655358:UYL655358 VIG655358:VIH655358 VSC655358:VSD655358 WBY655358:WBZ655358 WLU655358:WLV655358 WVQ655358:WVR655358 I720894:J720894 JE720894:JF720894 TA720894:TB720894 ACW720894:ACX720894 AMS720894:AMT720894 AWO720894:AWP720894 BGK720894:BGL720894 BQG720894:BQH720894 CAC720894:CAD720894 CJY720894:CJZ720894 CTU720894:CTV720894 DDQ720894:DDR720894 DNM720894:DNN720894 DXI720894:DXJ720894 EHE720894:EHF720894 ERA720894:ERB720894 FAW720894:FAX720894 FKS720894:FKT720894 FUO720894:FUP720894 GEK720894:GEL720894 GOG720894:GOH720894 GYC720894:GYD720894 HHY720894:HHZ720894 HRU720894:HRV720894 IBQ720894:IBR720894 ILM720894:ILN720894 IVI720894:IVJ720894 JFE720894:JFF720894 JPA720894:JPB720894 JYW720894:JYX720894 KIS720894:KIT720894 KSO720894:KSP720894 LCK720894:LCL720894 LMG720894:LMH720894 LWC720894:LWD720894 MFY720894:MFZ720894 MPU720894:MPV720894 MZQ720894:MZR720894 NJM720894:NJN720894 NTI720894:NTJ720894 ODE720894:ODF720894 ONA720894:ONB720894 OWW720894:OWX720894 PGS720894:PGT720894 PQO720894:PQP720894 QAK720894:QAL720894 QKG720894:QKH720894 QUC720894:QUD720894 RDY720894:RDZ720894 RNU720894:RNV720894 RXQ720894:RXR720894 SHM720894:SHN720894 SRI720894:SRJ720894 TBE720894:TBF720894 TLA720894:TLB720894 TUW720894:TUX720894 UES720894:UET720894 UOO720894:UOP720894 UYK720894:UYL720894 VIG720894:VIH720894 VSC720894:VSD720894 WBY720894:WBZ720894 WLU720894:WLV720894 WVQ720894:WVR720894 I786430:J786430 JE786430:JF786430 TA786430:TB786430 ACW786430:ACX786430 AMS786430:AMT786430 AWO786430:AWP786430 BGK786430:BGL786430 BQG786430:BQH786430 CAC786430:CAD786430 CJY786430:CJZ786430 CTU786430:CTV786430 DDQ786430:DDR786430 DNM786430:DNN786430 DXI786430:DXJ786430 EHE786430:EHF786430 ERA786430:ERB786430 FAW786430:FAX786430 FKS786430:FKT786430 FUO786430:FUP786430 GEK786430:GEL786430 GOG786430:GOH786430 GYC786430:GYD786430 HHY786430:HHZ786430 HRU786430:HRV786430 IBQ786430:IBR786430 ILM786430:ILN786430 IVI786430:IVJ786430 JFE786430:JFF786430 JPA786430:JPB786430 JYW786430:JYX786430 KIS786430:KIT786430 KSO786430:KSP786430 LCK786430:LCL786430 LMG786430:LMH786430 LWC786430:LWD786430 MFY786430:MFZ786430 MPU786430:MPV786430 MZQ786430:MZR786430 NJM786430:NJN786430 NTI786430:NTJ786430 ODE786430:ODF786430 ONA786430:ONB786430 OWW786430:OWX786430 PGS786430:PGT786430 PQO786430:PQP786430 QAK786430:QAL786430 QKG786430:QKH786430 QUC786430:QUD786430 RDY786430:RDZ786430 RNU786430:RNV786430 RXQ786430:RXR786430 SHM786430:SHN786430 SRI786430:SRJ786430 TBE786430:TBF786430 TLA786430:TLB786430 TUW786430:TUX786430 UES786430:UET786430 UOO786430:UOP786430 UYK786430:UYL786430 VIG786430:VIH786430 VSC786430:VSD786430 WBY786430:WBZ786430 WLU786430:WLV786430 WVQ786430:WVR786430 I851966:J851966 JE851966:JF851966 TA851966:TB851966 ACW851966:ACX851966 AMS851966:AMT851966 AWO851966:AWP851966 BGK851966:BGL851966 BQG851966:BQH851966 CAC851966:CAD851966 CJY851966:CJZ851966 CTU851966:CTV851966 DDQ851966:DDR851966 DNM851966:DNN851966 DXI851966:DXJ851966 EHE851966:EHF851966 ERA851966:ERB851966 FAW851966:FAX851966 FKS851966:FKT851966 FUO851966:FUP851966 GEK851966:GEL851966 GOG851966:GOH851966 GYC851966:GYD851966 HHY851966:HHZ851966 HRU851966:HRV851966 IBQ851966:IBR851966 ILM851966:ILN851966 IVI851966:IVJ851966 JFE851966:JFF851966 JPA851966:JPB851966 JYW851966:JYX851966 KIS851966:KIT851966 KSO851966:KSP851966 LCK851966:LCL851966 LMG851966:LMH851966 LWC851966:LWD851966 MFY851966:MFZ851966 MPU851966:MPV851966 MZQ851966:MZR851966 NJM851966:NJN851966 NTI851966:NTJ851966 ODE851966:ODF851966 ONA851966:ONB851966 OWW851966:OWX851966 PGS851966:PGT851966 PQO851966:PQP851966 QAK851966:QAL851966 QKG851966:QKH851966 QUC851966:QUD851966 RDY851966:RDZ851966 RNU851966:RNV851966 RXQ851966:RXR851966 SHM851966:SHN851966 SRI851966:SRJ851966 TBE851966:TBF851966 TLA851966:TLB851966 TUW851966:TUX851966 UES851966:UET851966 UOO851966:UOP851966 UYK851966:UYL851966 VIG851966:VIH851966 VSC851966:VSD851966 WBY851966:WBZ851966 WLU851966:WLV851966 WVQ851966:WVR851966 I917502:J917502 JE917502:JF917502 TA917502:TB917502 ACW917502:ACX917502 AMS917502:AMT917502 AWO917502:AWP917502 BGK917502:BGL917502 BQG917502:BQH917502 CAC917502:CAD917502 CJY917502:CJZ917502 CTU917502:CTV917502 DDQ917502:DDR917502 DNM917502:DNN917502 DXI917502:DXJ917502 EHE917502:EHF917502 ERA917502:ERB917502 FAW917502:FAX917502 FKS917502:FKT917502 FUO917502:FUP917502 GEK917502:GEL917502 GOG917502:GOH917502 GYC917502:GYD917502 HHY917502:HHZ917502 HRU917502:HRV917502 IBQ917502:IBR917502 ILM917502:ILN917502 IVI917502:IVJ917502 JFE917502:JFF917502 JPA917502:JPB917502 JYW917502:JYX917502 KIS917502:KIT917502 KSO917502:KSP917502 LCK917502:LCL917502 LMG917502:LMH917502 LWC917502:LWD917502 MFY917502:MFZ917502 MPU917502:MPV917502 MZQ917502:MZR917502 NJM917502:NJN917502 NTI917502:NTJ917502 ODE917502:ODF917502 ONA917502:ONB917502 OWW917502:OWX917502 PGS917502:PGT917502 PQO917502:PQP917502 QAK917502:QAL917502 QKG917502:QKH917502 QUC917502:QUD917502 RDY917502:RDZ917502 RNU917502:RNV917502 RXQ917502:RXR917502 SHM917502:SHN917502 SRI917502:SRJ917502 TBE917502:TBF917502 TLA917502:TLB917502 TUW917502:TUX917502 UES917502:UET917502 UOO917502:UOP917502 UYK917502:UYL917502 VIG917502:VIH917502 VSC917502:VSD917502 WBY917502:WBZ917502 WLU917502:WLV917502 WVQ917502:WVR917502 I983038:J983038 JE983038:JF983038 TA983038:TB983038 ACW983038:ACX983038 AMS983038:AMT983038 AWO983038:AWP983038 BGK983038:BGL983038 BQG983038:BQH983038 CAC983038:CAD983038 CJY983038:CJZ983038 CTU983038:CTV983038 DDQ983038:DDR983038 DNM983038:DNN983038 DXI983038:DXJ983038 EHE983038:EHF983038 ERA983038:ERB983038 FAW983038:FAX983038 FKS983038:FKT983038 FUO983038:FUP983038 GEK983038:GEL983038 GOG983038:GOH983038 GYC983038:GYD983038 HHY983038:HHZ983038 HRU983038:HRV983038 IBQ983038:IBR983038 ILM983038:ILN983038 IVI983038:IVJ983038 JFE983038:JFF983038 JPA983038:JPB983038 JYW983038:JYX983038 KIS983038:KIT983038 KSO983038:KSP983038 LCK983038:LCL983038 LMG983038:LMH983038 LWC983038:LWD983038 MFY983038:MFZ983038 MPU983038:MPV983038 MZQ983038:MZR983038 NJM983038:NJN983038 NTI983038:NTJ983038 ODE983038:ODF983038 ONA983038:ONB983038 OWW983038:OWX983038 PGS983038:PGT983038 PQO983038:PQP983038 QAK983038:QAL983038 QKG983038:QKH983038 QUC983038:QUD983038 RDY983038:RDZ983038 RNU983038:RNV983038 RXQ983038:RXR983038 SHM983038:SHN983038 SRI983038:SRJ983038 TBE983038:TBF983038 TLA983038:TLB983038 TUW983038:TUX983038 UES983038:UET983038 UOO983038:UOP983038 UYK983038:UYL983038 VIG983038:VIH983038 VSC983038:VSD983038 WBY983038:WBZ983038 WLU983038:WLV983038 WVQ983038:WVR983038">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I8:J8 JE8:JF8 TA8:TB8 ACW8:ACX8 AMS8:AMT8 AWO8:AWP8 BGK8:BGL8 BQG8:BQH8 CAC8:CAD8 CJY8:CJZ8 CTU8:CTV8 DDQ8:DDR8 DNM8:DNN8 DXI8:DXJ8 EHE8:EHF8 ERA8:ERB8 FAW8:FAX8 FKS8:FKT8 FUO8:FUP8 GEK8:GEL8 GOG8:GOH8 GYC8:GYD8 HHY8:HHZ8 HRU8:HRV8 IBQ8:IBR8 ILM8:ILN8 IVI8:IVJ8 JFE8:JFF8 JPA8:JPB8 JYW8:JYX8 KIS8:KIT8 KSO8:KSP8 LCK8:LCL8 LMG8:LMH8 LWC8:LWD8 MFY8:MFZ8 MPU8:MPV8 MZQ8:MZR8 NJM8:NJN8 NTI8:NTJ8 ODE8:ODF8 ONA8:ONB8 OWW8:OWX8 PGS8:PGT8 PQO8:PQP8 QAK8:QAL8 QKG8:QKH8 QUC8:QUD8 RDY8:RDZ8 RNU8:RNV8 RXQ8:RXR8 SHM8:SHN8 SRI8:SRJ8 TBE8:TBF8 TLA8:TLB8 TUW8:TUX8 UES8:UET8 UOO8:UOP8 UYK8:UYL8 VIG8:VIH8 VSC8:VSD8 WBY8:WBZ8 WLU8:WLV8 WVQ8:WVR8 I65535:J65535 JE65535:JF65535 TA65535:TB65535 ACW65535:ACX65535 AMS65535:AMT65535 AWO65535:AWP65535 BGK65535:BGL65535 BQG65535:BQH65535 CAC65535:CAD65535 CJY65535:CJZ65535 CTU65535:CTV65535 DDQ65535:DDR65535 DNM65535:DNN65535 DXI65535:DXJ65535 EHE65535:EHF65535 ERA65535:ERB65535 FAW65535:FAX65535 FKS65535:FKT65535 FUO65535:FUP65535 GEK65535:GEL65535 GOG65535:GOH65535 GYC65535:GYD65535 HHY65535:HHZ65535 HRU65535:HRV65535 IBQ65535:IBR65535 ILM65535:ILN65535 IVI65535:IVJ65535 JFE65535:JFF65535 JPA65535:JPB65535 JYW65535:JYX65535 KIS65535:KIT65535 KSO65535:KSP65535 LCK65535:LCL65535 LMG65535:LMH65535 LWC65535:LWD65535 MFY65535:MFZ65535 MPU65535:MPV65535 MZQ65535:MZR65535 NJM65535:NJN65535 NTI65535:NTJ65535 ODE65535:ODF65535 ONA65535:ONB65535 OWW65535:OWX65535 PGS65535:PGT65535 PQO65535:PQP65535 QAK65535:QAL65535 QKG65535:QKH65535 QUC65535:QUD65535 RDY65535:RDZ65535 RNU65535:RNV65535 RXQ65535:RXR65535 SHM65535:SHN65535 SRI65535:SRJ65535 TBE65535:TBF65535 TLA65535:TLB65535 TUW65535:TUX65535 UES65535:UET65535 UOO65535:UOP65535 UYK65535:UYL65535 VIG65535:VIH65535 VSC65535:VSD65535 WBY65535:WBZ65535 WLU65535:WLV65535 WVQ65535:WVR65535 I131071:J131071 JE131071:JF131071 TA131071:TB131071 ACW131071:ACX131071 AMS131071:AMT131071 AWO131071:AWP131071 BGK131071:BGL131071 BQG131071:BQH131071 CAC131071:CAD131071 CJY131071:CJZ131071 CTU131071:CTV131071 DDQ131071:DDR131071 DNM131071:DNN131071 DXI131071:DXJ131071 EHE131071:EHF131071 ERA131071:ERB131071 FAW131071:FAX131071 FKS131071:FKT131071 FUO131071:FUP131071 GEK131071:GEL131071 GOG131071:GOH131071 GYC131071:GYD131071 HHY131071:HHZ131071 HRU131071:HRV131071 IBQ131071:IBR131071 ILM131071:ILN131071 IVI131071:IVJ131071 JFE131071:JFF131071 JPA131071:JPB131071 JYW131071:JYX131071 KIS131071:KIT131071 KSO131071:KSP131071 LCK131071:LCL131071 LMG131071:LMH131071 LWC131071:LWD131071 MFY131071:MFZ131071 MPU131071:MPV131071 MZQ131071:MZR131071 NJM131071:NJN131071 NTI131071:NTJ131071 ODE131071:ODF131071 ONA131071:ONB131071 OWW131071:OWX131071 PGS131071:PGT131071 PQO131071:PQP131071 QAK131071:QAL131071 QKG131071:QKH131071 QUC131071:QUD131071 RDY131071:RDZ131071 RNU131071:RNV131071 RXQ131071:RXR131071 SHM131071:SHN131071 SRI131071:SRJ131071 TBE131071:TBF131071 TLA131071:TLB131071 TUW131071:TUX131071 UES131071:UET131071 UOO131071:UOP131071 UYK131071:UYL131071 VIG131071:VIH131071 VSC131071:VSD131071 WBY131071:WBZ131071 WLU131071:WLV131071 WVQ131071:WVR131071 I196607:J196607 JE196607:JF196607 TA196607:TB196607 ACW196607:ACX196607 AMS196607:AMT196607 AWO196607:AWP196607 BGK196607:BGL196607 BQG196607:BQH196607 CAC196607:CAD196607 CJY196607:CJZ196607 CTU196607:CTV196607 DDQ196607:DDR196607 DNM196607:DNN196607 DXI196607:DXJ196607 EHE196607:EHF196607 ERA196607:ERB196607 FAW196607:FAX196607 FKS196607:FKT196607 FUO196607:FUP196607 GEK196607:GEL196607 GOG196607:GOH196607 GYC196607:GYD196607 HHY196607:HHZ196607 HRU196607:HRV196607 IBQ196607:IBR196607 ILM196607:ILN196607 IVI196607:IVJ196607 JFE196607:JFF196607 JPA196607:JPB196607 JYW196607:JYX196607 KIS196607:KIT196607 KSO196607:KSP196607 LCK196607:LCL196607 LMG196607:LMH196607 LWC196607:LWD196607 MFY196607:MFZ196607 MPU196607:MPV196607 MZQ196607:MZR196607 NJM196607:NJN196607 NTI196607:NTJ196607 ODE196607:ODF196607 ONA196607:ONB196607 OWW196607:OWX196607 PGS196607:PGT196607 PQO196607:PQP196607 QAK196607:QAL196607 QKG196607:QKH196607 QUC196607:QUD196607 RDY196607:RDZ196607 RNU196607:RNV196607 RXQ196607:RXR196607 SHM196607:SHN196607 SRI196607:SRJ196607 TBE196607:TBF196607 TLA196607:TLB196607 TUW196607:TUX196607 UES196607:UET196607 UOO196607:UOP196607 UYK196607:UYL196607 VIG196607:VIH196607 VSC196607:VSD196607 WBY196607:WBZ196607 WLU196607:WLV196607 WVQ196607:WVR196607 I262143:J262143 JE262143:JF262143 TA262143:TB262143 ACW262143:ACX262143 AMS262143:AMT262143 AWO262143:AWP262143 BGK262143:BGL262143 BQG262143:BQH262143 CAC262143:CAD262143 CJY262143:CJZ262143 CTU262143:CTV262143 DDQ262143:DDR262143 DNM262143:DNN262143 DXI262143:DXJ262143 EHE262143:EHF262143 ERA262143:ERB262143 FAW262143:FAX262143 FKS262143:FKT262143 FUO262143:FUP262143 GEK262143:GEL262143 GOG262143:GOH262143 GYC262143:GYD262143 HHY262143:HHZ262143 HRU262143:HRV262143 IBQ262143:IBR262143 ILM262143:ILN262143 IVI262143:IVJ262143 JFE262143:JFF262143 JPA262143:JPB262143 JYW262143:JYX262143 KIS262143:KIT262143 KSO262143:KSP262143 LCK262143:LCL262143 LMG262143:LMH262143 LWC262143:LWD262143 MFY262143:MFZ262143 MPU262143:MPV262143 MZQ262143:MZR262143 NJM262143:NJN262143 NTI262143:NTJ262143 ODE262143:ODF262143 ONA262143:ONB262143 OWW262143:OWX262143 PGS262143:PGT262143 PQO262143:PQP262143 QAK262143:QAL262143 QKG262143:QKH262143 QUC262143:QUD262143 RDY262143:RDZ262143 RNU262143:RNV262143 RXQ262143:RXR262143 SHM262143:SHN262143 SRI262143:SRJ262143 TBE262143:TBF262143 TLA262143:TLB262143 TUW262143:TUX262143 UES262143:UET262143 UOO262143:UOP262143 UYK262143:UYL262143 VIG262143:VIH262143 VSC262143:VSD262143 WBY262143:WBZ262143 WLU262143:WLV262143 WVQ262143:WVR262143 I327679:J327679 JE327679:JF327679 TA327679:TB327679 ACW327679:ACX327679 AMS327679:AMT327679 AWO327679:AWP327679 BGK327679:BGL327679 BQG327679:BQH327679 CAC327679:CAD327679 CJY327679:CJZ327679 CTU327679:CTV327679 DDQ327679:DDR327679 DNM327679:DNN327679 DXI327679:DXJ327679 EHE327679:EHF327679 ERA327679:ERB327679 FAW327679:FAX327679 FKS327679:FKT327679 FUO327679:FUP327679 GEK327679:GEL327679 GOG327679:GOH327679 GYC327679:GYD327679 HHY327679:HHZ327679 HRU327679:HRV327679 IBQ327679:IBR327679 ILM327679:ILN327679 IVI327679:IVJ327679 JFE327679:JFF327679 JPA327679:JPB327679 JYW327679:JYX327679 KIS327679:KIT327679 KSO327679:KSP327679 LCK327679:LCL327679 LMG327679:LMH327679 LWC327679:LWD327679 MFY327679:MFZ327679 MPU327679:MPV327679 MZQ327679:MZR327679 NJM327679:NJN327679 NTI327679:NTJ327679 ODE327679:ODF327679 ONA327679:ONB327679 OWW327679:OWX327679 PGS327679:PGT327679 PQO327679:PQP327679 QAK327679:QAL327679 QKG327679:QKH327679 QUC327679:QUD327679 RDY327679:RDZ327679 RNU327679:RNV327679 RXQ327679:RXR327679 SHM327679:SHN327679 SRI327679:SRJ327679 TBE327679:TBF327679 TLA327679:TLB327679 TUW327679:TUX327679 UES327679:UET327679 UOO327679:UOP327679 UYK327679:UYL327679 VIG327679:VIH327679 VSC327679:VSD327679 WBY327679:WBZ327679 WLU327679:WLV327679 WVQ327679:WVR327679 I393215:J393215 JE393215:JF393215 TA393215:TB393215 ACW393215:ACX393215 AMS393215:AMT393215 AWO393215:AWP393215 BGK393215:BGL393215 BQG393215:BQH393215 CAC393215:CAD393215 CJY393215:CJZ393215 CTU393215:CTV393215 DDQ393215:DDR393215 DNM393215:DNN393215 DXI393215:DXJ393215 EHE393215:EHF393215 ERA393215:ERB393215 FAW393215:FAX393215 FKS393215:FKT393215 FUO393215:FUP393215 GEK393215:GEL393215 GOG393215:GOH393215 GYC393215:GYD393215 HHY393215:HHZ393215 HRU393215:HRV393215 IBQ393215:IBR393215 ILM393215:ILN393215 IVI393215:IVJ393215 JFE393215:JFF393215 JPA393215:JPB393215 JYW393215:JYX393215 KIS393215:KIT393215 KSO393215:KSP393215 LCK393215:LCL393215 LMG393215:LMH393215 LWC393215:LWD393215 MFY393215:MFZ393215 MPU393215:MPV393215 MZQ393215:MZR393215 NJM393215:NJN393215 NTI393215:NTJ393215 ODE393215:ODF393215 ONA393215:ONB393215 OWW393215:OWX393215 PGS393215:PGT393215 PQO393215:PQP393215 QAK393215:QAL393215 QKG393215:QKH393215 QUC393215:QUD393215 RDY393215:RDZ393215 RNU393215:RNV393215 RXQ393215:RXR393215 SHM393215:SHN393215 SRI393215:SRJ393215 TBE393215:TBF393215 TLA393215:TLB393215 TUW393215:TUX393215 UES393215:UET393215 UOO393215:UOP393215 UYK393215:UYL393215 VIG393215:VIH393215 VSC393215:VSD393215 WBY393215:WBZ393215 WLU393215:WLV393215 WVQ393215:WVR393215 I458751:J458751 JE458751:JF458751 TA458751:TB458751 ACW458751:ACX458751 AMS458751:AMT458751 AWO458751:AWP458751 BGK458751:BGL458751 BQG458751:BQH458751 CAC458751:CAD458751 CJY458751:CJZ458751 CTU458751:CTV458751 DDQ458751:DDR458751 DNM458751:DNN458751 DXI458751:DXJ458751 EHE458751:EHF458751 ERA458751:ERB458751 FAW458751:FAX458751 FKS458751:FKT458751 FUO458751:FUP458751 GEK458751:GEL458751 GOG458751:GOH458751 GYC458751:GYD458751 HHY458751:HHZ458751 HRU458751:HRV458751 IBQ458751:IBR458751 ILM458751:ILN458751 IVI458751:IVJ458751 JFE458751:JFF458751 JPA458751:JPB458751 JYW458751:JYX458751 KIS458751:KIT458751 KSO458751:KSP458751 LCK458751:LCL458751 LMG458751:LMH458751 LWC458751:LWD458751 MFY458751:MFZ458751 MPU458751:MPV458751 MZQ458751:MZR458751 NJM458751:NJN458751 NTI458751:NTJ458751 ODE458751:ODF458751 ONA458751:ONB458751 OWW458751:OWX458751 PGS458751:PGT458751 PQO458751:PQP458751 QAK458751:QAL458751 QKG458751:QKH458751 QUC458751:QUD458751 RDY458751:RDZ458751 RNU458751:RNV458751 RXQ458751:RXR458751 SHM458751:SHN458751 SRI458751:SRJ458751 TBE458751:TBF458751 TLA458751:TLB458751 TUW458751:TUX458751 UES458751:UET458751 UOO458751:UOP458751 UYK458751:UYL458751 VIG458751:VIH458751 VSC458751:VSD458751 WBY458751:WBZ458751 WLU458751:WLV458751 WVQ458751:WVR458751 I524287:J524287 JE524287:JF524287 TA524287:TB524287 ACW524287:ACX524287 AMS524287:AMT524287 AWO524287:AWP524287 BGK524287:BGL524287 BQG524287:BQH524287 CAC524287:CAD524287 CJY524287:CJZ524287 CTU524287:CTV524287 DDQ524287:DDR524287 DNM524287:DNN524287 DXI524287:DXJ524287 EHE524287:EHF524287 ERA524287:ERB524287 FAW524287:FAX524287 FKS524287:FKT524287 FUO524287:FUP524287 GEK524287:GEL524287 GOG524287:GOH524287 GYC524287:GYD524287 HHY524287:HHZ524287 HRU524287:HRV524287 IBQ524287:IBR524287 ILM524287:ILN524287 IVI524287:IVJ524287 JFE524287:JFF524287 JPA524287:JPB524287 JYW524287:JYX524287 KIS524287:KIT524287 KSO524287:KSP524287 LCK524287:LCL524287 LMG524287:LMH524287 LWC524287:LWD524287 MFY524287:MFZ524287 MPU524287:MPV524287 MZQ524287:MZR524287 NJM524287:NJN524287 NTI524287:NTJ524287 ODE524287:ODF524287 ONA524287:ONB524287 OWW524287:OWX524287 PGS524287:PGT524287 PQO524287:PQP524287 QAK524287:QAL524287 QKG524287:QKH524287 QUC524287:QUD524287 RDY524287:RDZ524287 RNU524287:RNV524287 RXQ524287:RXR524287 SHM524287:SHN524287 SRI524287:SRJ524287 TBE524287:TBF524287 TLA524287:TLB524287 TUW524287:TUX524287 UES524287:UET524287 UOO524287:UOP524287 UYK524287:UYL524287 VIG524287:VIH524287 VSC524287:VSD524287 WBY524287:WBZ524287 WLU524287:WLV524287 WVQ524287:WVR524287 I589823:J589823 JE589823:JF589823 TA589823:TB589823 ACW589823:ACX589823 AMS589823:AMT589823 AWO589823:AWP589823 BGK589823:BGL589823 BQG589823:BQH589823 CAC589823:CAD589823 CJY589823:CJZ589823 CTU589823:CTV589823 DDQ589823:DDR589823 DNM589823:DNN589823 DXI589823:DXJ589823 EHE589823:EHF589823 ERA589823:ERB589823 FAW589823:FAX589823 FKS589823:FKT589823 FUO589823:FUP589823 GEK589823:GEL589823 GOG589823:GOH589823 GYC589823:GYD589823 HHY589823:HHZ589823 HRU589823:HRV589823 IBQ589823:IBR589823 ILM589823:ILN589823 IVI589823:IVJ589823 JFE589823:JFF589823 JPA589823:JPB589823 JYW589823:JYX589823 KIS589823:KIT589823 KSO589823:KSP589823 LCK589823:LCL589823 LMG589823:LMH589823 LWC589823:LWD589823 MFY589823:MFZ589823 MPU589823:MPV589823 MZQ589823:MZR589823 NJM589823:NJN589823 NTI589823:NTJ589823 ODE589823:ODF589823 ONA589823:ONB589823 OWW589823:OWX589823 PGS589823:PGT589823 PQO589823:PQP589823 QAK589823:QAL589823 QKG589823:QKH589823 QUC589823:QUD589823 RDY589823:RDZ589823 RNU589823:RNV589823 RXQ589823:RXR589823 SHM589823:SHN589823 SRI589823:SRJ589823 TBE589823:TBF589823 TLA589823:TLB589823 TUW589823:TUX589823 UES589823:UET589823 UOO589823:UOP589823 UYK589823:UYL589823 VIG589823:VIH589823 VSC589823:VSD589823 WBY589823:WBZ589823 WLU589823:WLV589823 WVQ589823:WVR589823 I655359:J655359 JE655359:JF655359 TA655359:TB655359 ACW655359:ACX655359 AMS655359:AMT655359 AWO655359:AWP655359 BGK655359:BGL655359 BQG655359:BQH655359 CAC655359:CAD655359 CJY655359:CJZ655359 CTU655359:CTV655359 DDQ655359:DDR655359 DNM655359:DNN655359 DXI655359:DXJ655359 EHE655359:EHF655359 ERA655359:ERB655359 FAW655359:FAX655359 FKS655359:FKT655359 FUO655359:FUP655359 GEK655359:GEL655359 GOG655359:GOH655359 GYC655359:GYD655359 HHY655359:HHZ655359 HRU655359:HRV655359 IBQ655359:IBR655359 ILM655359:ILN655359 IVI655359:IVJ655359 JFE655359:JFF655359 JPA655359:JPB655359 JYW655359:JYX655359 KIS655359:KIT655359 KSO655359:KSP655359 LCK655359:LCL655359 LMG655359:LMH655359 LWC655359:LWD655359 MFY655359:MFZ655359 MPU655359:MPV655359 MZQ655359:MZR655359 NJM655359:NJN655359 NTI655359:NTJ655359 ODE655359:ODF655359 ONA655359:ONB655359 OWW655359:OWX655359 PGS655359:PGT655359 PQO655359:PQP655359 QAK655359:QAL655359 QKG655359:QKH655359 QUC655359:QUD655359 RDY655359:RDZ655359 RNU655359:RNV655359 RXQ655359:RXR655359 SHM655359:SHN655359 SRI655359:SRJ655359 TBE655359:TBF655359 TLA655359:TLB655359 TUW655359:TUX655359 UES655359:UET655359 UOO655359:UOP655359 UYK655359:UYL655359 VIG655359:VIH655359 VSC655359:VSD655359 WBY655359:WBZ655359 WLU655359:WLV655359 WVQ655359:WVR655359 I720895:J720895 JE720895:JF720895 TA720895:TB720895 ACW720895:ACX720895 AMS720895:AMT720895 AWO720895:AWP720895 BGK720895:BGL720895 BQG720895:BQH720895 CAC720895:CAD720895 CJY720895:CJZ720895 CTU720895:CTV720895 DDQ720895:DDR720895 DNM720895:DNN720895 DXI720895:DXJ720895 EHE720895:EHF720895 ERA720895:ERB720895 FAW720895:FAX720895 FKS720895:FKT720895 FUO720895:FUP720895 GEK720895:GEL720895 GOG720895:GOH720895 GYC720895:GYD720895 HHY720895:HHZ720895 HRU720895:HRV720895 IBQ720895:IBR720895 ILM720895:ILN720895 IVI720895:IVJ720895 JFE720895:JFF720895 JPA720895:JPB720895 JYW720895:JYX720895 KIS720895:KIT720895 KSO720895:KSP720895 LCK720895:LCL720895 LMG720895:LMH720895 LWC720895:LWD720895 MFY720895:MFZ720895 MPU720895:MPV720895 MZQ720895:MZR720895 NJM720895:NJN720895 NTI720895:NTJ720895 ODE720895:ODF720895 ONA720895:ONB720895 OWW720895:OWX720895 PGS720895:PGT720895 PQO720895:PQP720895 QAK720895:QAL720895 QKG720895:QKH720895 QUC720895:QUD720895 RDY720895:RDZ720895 RNU720895:RNV720895 RXQ720895:RXR720895 SHM720895:SHN720895 SRI720895:SRJ720895 TBE720895:TBF720895 TLA720895:TLB720895 TUW720895:TUX720895 UES720895:UET720895 UOO720895:UOP720895 UYK720895:UYL720895 VIG720895:VIH720895 VSC720895:VSD720895 WBY720895:WBZ720895 WLU720895:WLV720895 WVQ720895:WVR720895 I786431:J786431 JE786431:JF786431 TA786431:TB786431 ACW786431:ACX786431 AMS786431:AMT786431 AWO786431:AWP786431 BGK786431:BGL786431 BQG786431:BQH786431 CAC786431:CAD786431 CJY786431:CJZ786431 CTU786431:CTV786431 DDQ786431:DDR786431 DNM786431:DNN786431 DXI786431:DXJ786431 EHE786431:EHF786431 ERA786431:ERB786431 FAW786431:FAX786431 FKS786431:FKT786431 FUO786431:FUP786431 GEK786431:GEL786431 GOG786431:GOH786431 GYC786431:GYD786431 HHY786431:HHZ786431 HRU786431:HRV786431 IBQ786431:IBR786431 ILM786431:ILN786431 IVI786431:IVJ786431 JFE786431:JFF786431 JPA786431:JPB786431 JYW786431:JYX786431 KIS786431:KIT786431 KSO786431:KSP786431 LCK786431:LCL786431 LMG786431:LMH786431 LWC786431:LWD786431 MFY786431:MFZ786431 MPU786431:MPV786431 MZQ786431:MZR786431 NJM786431:NJN786431 NTI786431:NTJ786431 ODE786431:ODF786431 ONA786431:ONB786431 OWW786431:OWX786431 PGS786431:PGT786431 PQO786431:PQP786431 QAK786431:QAL786431 QKG786431:QKH786431 QUC786431:QUD786431 RDY786431:RDZ786431 RNU786431:RNV786431 RXQ786431:RXR786431 SHM786431:SHN786431 SRI786431:SRJ786431 TBE786431:TBF786431 TLA786431:TLB786431 TUW786431:TUX786431 UES786431:UET786431 UOO786431:UOP786431 UYK786431:UYL786431 VIG786431:VIH786431 VSC786431:VSD786431 WBY786431:WBZ786431 WLU786431:WLV786431 WVQ786431:WVR786431 I851967:J851967 JE851967:JF851967 TA851967:TB851967 ACW851967:ACX851967 AMS851967:AMT851967 AWO851967:AWP851967 BGK851967:BGL851967 BQG851967:BQH851967 CAC851967:CAD851967 CJY851967:CJZ851967 CTU851967:CTV851967 DDQ851967:DDR851967 DNM851967:DNN851967 DXI851967:DXJ851967 EHE851967:EHF851967 ERA851967:ERB851967 FAW851967:FAX851967 FKS851967:FKT851967 FUO851967:FUP851967 GEK851967:GEL851967 GOG851967:GOH851967 GYC851967:GYD851967 HHY851967:HHZ851967 HRU851967:HRV851967 IBQ851967:IBR851967 ILM851967:ILN851967 IVI851967:IVJ851967 JFE851967:JFF851967 JPA851967:JPB851967 JYW851967:JYX851967 KIS851967:KIT851967 KSO851967:KSP851967 LCK851967:LCL851967 LMG851967:LMH851967 LWC851967:LWD851967 MFY851967:MFZ851967 MPU851967:MPV851967 MZQ851967:MZR851967 NJM851967:NJN851967 NTI851967:NTJ851967 ODE851967:ODF851967 ONA851967:ONB851967 OWW851967:OWX851967 PGS851967:PGT851967 PQO851967:PQP851967 QAK851967:QAL851967 QKG851967:QKH851967 QUC851967:QUD851967 RDY851967:RDZ851967 RNU851967:RNV851967 RXQ851967:RXR851967 SHM851967:SHN851967 SRI851967:SRJ851967 TBE851967:TBF851967 TLA851967:TLB851967 TUW851967:TUX851967 UES851967:UET851967 UOO851967:UOP851967 UYK851967:UYL851967 VIG851967:VIH851967 VSC851967:VSD851967 WBY851967:WBZ851967 WLU851967:WLV851967 WVQ851967:WVR851967 I917503:J917503 JE917503:JF917503 TA917503:TB917503 ACW917503:ACX917503 AMS917503:AMT917503 AWO917503:AWP917503 BGK917503:BGL917503 BQG917503:BQH917503 CAC917503:CAD917503 CJY917503:CJZ917503 CTU917503:CTV917503 DDQ917503:DDR917503 DNM917503:DNN917503 DXI917503:DXJ917503 EHE917503:EHF917503 ERA917503:ERB917503 FAW917503:FAX917503 FKS917503:FKT917503 FUO917503:FUP917503 GEK917503:GEL917503 GOG917503:GOH917503 GYC917503:GYD917503 HHY917503:HHZ917503 HRU917503:HRV917503 IBQ917503:IBR917503 ILM917503:ILN917503 IVI917503:IVJ917503 JFE917503:JFF917503 JPA917503:JPB917503 JYW917503:JYX917503 KIS917503:KIT917503 KSO917503:KSP917503 LCK917503:LCL917503 LMG917503:LMH917503 LWC917503:LWD917503 MFY917503:MFZ917503 MPU917503:MPV917503 MZQ917503:MZR917503 NJM917503:NJN917503 NTI917503:NTJ917503 ODE917503:ODF917503 ONA917503:ONB917503 OWW917503:OWX917503 PGS917503:PGT917503 PQO917503:PQP917503 QAK917503:QAL917503 QKG917503:QKH917503 QUC917503:QUD917503 RDY917503:RDZ917503 RNU917503:RNV917503 RXQ917503:RXR917503 SHM917503:SHN917503 SRI917503:SRJ917503 TBE917503:TBF917503 TLA917503:TLB917503 TUW917503:TUX917503 UES917503:UET917503 UOO917503:UOP917503 UYK917503:UYL917503 VIG917503:VIH917503 VSC917503:VSD917503 WBY917503:WBZ917503 WLU917503:WLV917503 WVQ917503:WVR917503 I983039:J983039 JE983039:JF983039 TA983039:TB983039 ACW983039:ACX983039 AMS983039:AMT983039 AWO983039:AWP983039 BGK983039:BGL983039 BQG983039:BQH983039 CAC983039:CAD983039 CJY983039:CJZ983039 CTU983039:CTV983039 DDQ983039:DDR983039 DNM983039:DNN983039 DXI983039:DXJ983039 EHE983039:EHF983039 ERA983039:ERB983039 FAW983039:FAX983039 FKS983039:FKT983039 FUO983039:FUP983039 GEK983039:GEL983039 GOG983039:GOH983039 GYC983039:GYD983039 HHY983039:HHZ983039 HRU983039:HRV983039 IBQ983039:IBR983039 ILM983039:ILN983039 IVI983039:IVJ983039 JFE983039:JFF983039 JPA983039:JPB983039 JYW983039:JYX983039 KIS983039:KIT983039 KSO983039:KSP983039 LCK983039:LCL983039 LMG983039:LMH983039 LWC983039:LWD983039 MFY983039:MFZ983039 MPU983039:MPV983039 MZQ983039:MZR983039 NJM983039:NJN983039 NTI983039:NTJ983039 ODE983039:ODF983039 ONA983039:ONB983039 OWW983039:OWX983039 PGS983039:PGT983039 PQO983039:PQP983039 QAK983039:QAL983039 QKG983039:QKH983039 QUC983039:QUD983039 RDY983039:RDZ983039 RNU983039:RNV983039 RXQ983039:RXR983039 SHM983039:SHN983039 SRI983039:SRJ983039 TBE983039:TBF983039 TLA983039:TLB983039 TUW983039:TUX983039 UES983039:UET983039 UOO983039:UOP983039 UYK983039:UYL983039 VIG983039:VIH983039 VSC983039:VSD983039 WBY983039:WBZ983039 WLU983039:WLV983039 WVQ983039:WVR983039">
      <formula1>0</formula1>
      <formula2>0</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52 JF65552 TB65552 ACX65552 AMT65552 AWP65552 BGL65552 BQH65552 CAD65552 CJZ65552 CTV65552 DDR65552 DNN65552 DXJ65552 EHF65552 ERB65552 FAX65552 FKT65552 FUP65552 GEL65552 GOH65552 GYD65552 HHZ65552 HRV65552 IBR65552 ILN65552 IVJ65552 JFF65552 JPB65552 JYX65552 KIT65552 KSP65552 LCL65552 LMH65552 LWD65552 MFZ65552 MPV65552 MZR65552 NJN65552 NTJ65552 ODF65552 ONB65552 OWX65552 PGT65552 PQP65552 QAL65552 QKH65552 QUD65552 RDZ65552 RNV65552 RXR65552 SHN65552 SRJ65552 TBF65552 TLB65552 TUX65552 UET65552 UOP65552 UYL65552 VIH65552 VSD65552 WBZ65552 WLV65552 WVR65552 J131088 JF131088 TB131088 ACX131088 AMT131088 AWP131088 BGL131088 BQH131088 CAD131088 CJZ131088 CTV131088 DDR131088 DNN131088 DXJ131088 EHF131088 ERB131088 FAX131088 FKT131088 FUP131088 GEL131088 GOH131088 GYD131088 HHZ131088 HRV131088 IBR131088 ILN131088 IVJ131088 JFF131088 JPB131088 JYX131088 KIT131088 KSP131088 LCL131088 LMH131088 LWD131088 MFZ131088 MPV131088 MZR131088 NJN131088 NTJ131088 ODF131088 ONB131088 OWX131088 PGT131088 PQP131088 QAL131088 QKH131088 QUD131088 RDZ131088 RNV131088 RXR131088 SHN131088 SRJ131088 TBF131088 TLB131088 TUX131088 UET131088 UOP131088 UYL131088 VIH131088 VSD131088 WBZ131088 WLV131088 WVR131088 J196624 JF196624 TB196624 ACX196624 AMT196624 AWP196624 BGL196624 BQH196624 CAD196624 CJZ196624 CTV196624 DDR196624 DNN196624 DXJ196624 EHF196624 ERB196624 FAX196624 FKT196624 FUP196624 GEL196624 GOH196624 GYD196624 HHZ196624 HRV196624 IBR196624 ILN196624 IVJ196624 JFF196624 JPB196624 JYX196624 KIT196624 KSP196624 LCL196624 LMH196624 LWD196624 MFZ196624 MPV196624 MZR196624 NJN196624 NTJ196624 ODF196624 ONB196624 OWX196624 PGT196624 PQP196624 QAL196624 QKH196624 QUD196624 RDZ196624 RNV196624 RXR196624 SHN196624 SRJ196624 TBF196624 TLB196624 TUX196624 UET196624 UOP196624 UYL196624 VIH196624 VSD196624 WBZ196624 WLV196624 WVR196624 J262160 JF262160 TB262160 ACX262160 AMT262160 AWP262160 BGL262160 BQH262160 CAD262160 CJZ262160 CTV262160 DDR262160 DNN262160 DXJ262160 EHF262160 ERB262160 FAX262160 FKT262160 FUP262160 GEL262160 GOH262160 GYD262160 HHZ262160 HRV262160 IBR262160 ILN262160 IVJ262160 JFF262160 JPB262160 JYX262160 KIT262160 KSP262160 LCL262160 LMH262160 LWD262160 MFZ262160 MPV262160 MZR262160 NJN262160 NTJ262160 ODF262160 ONB262160 OWX262160 PGT262160 PQP262160 QAL262160 QKH262160 QUD262160 RDZ262160 RNV262160 RXR262160 SHN262160 SRJ262160 TBF262160 TLB262160 TUX262160 UET262160 UOP262160 UYL262160 VIH262160 VSD262160 WBZ262160 WLV262160 WVR262160 J327696 JF327696 TB327696 ACX327696 AMT327696 AWP327696 BGL327696 BQH327696 CAD327696 CJZ327696 CTV327696 DDR327696 DNN327696 DXJ327696 EHF327696 ERB327696 FAX327696 FKT327696 FUP327696 GEL327696 GOH327696 GYD327696 HHZ327696 HRV327696 IBR327696 ILN327696 IVJ327696 JFF327696 JPB327696 JYX327696 KIT327696 KSP327696 LCL327696 LMH327696 LWD327696 MFZ327696 MPV327696 MZR327696 NJN327696 NTJ327696 ODF327696 ONB327696 OWX327696 PGT327696 PQP327696 QAL327696 QKH327696 QUD327696 RDZ327696 RNV327696 RXR327696 SHN327696 SRJ327696 TBF327696 TLB327696 TUX327696 UET327696 UOP327696 UYL327696 VIH327696 VSD327696 WBZ327696 WLV327696 WVR327696 J393232 JF393232 TB393232 ACX393232 AMT393232 AWP393232 BGL393232 BQH393232 CAD393232 CJZ393232 CTV393232 DDR393232 DNN393232 DXJ393232 EHF393232 ERB393232 FAX393232 FKT393232 FUP393232 GEL393232 GOH393232 GYD393232 HHZ393232 HRV393232 IBR393232 ILN393232 IVJ393232 JFF393232 JPB393232 JYX393232 KIT393232 KSP393232 LCL393232 LMH393232 LWD393232 MFZ393232 MPV393232 MZR393232 NJN393232 NTJ393232 ODF393232 ONB393232 OWX393232 PGT393232 PQP393232 QAL393232 QKH393232 QUD393232 RDZ393232 RNV393232 RXR393232 SHN393232 SRJ393232 TBF393232 TLB393232 TUX393232 UET393232 UOP393232 UYL393232 VIH393232 VSD393232 WBZ393232 WLV393232 WVR393232 J458768 JF458768 TB458768 ACX458768 AMT458768 AWP458768 BGL458768 BQH458768 CAD458768 CJZ458768 CTV458768 DDR458768 DNN458768 DXJ458768 EHF458768 ERB458768 FAX458768 FKT458768 FUP458768 GEL458768 GOH458768 GYD458768 HHZ458768 HRV458768 IBR458768 ILN458768 IVJ458768 JFF458768 JPB458768 JYX458768 KIT458768 KSP458768 LCL458768 LMH458768 LWD458768 MFZ458768 MPV458768 MZR458768 NJN458768 NTJ458768 ODF458768 ONB458768 OWX458768 PGT458768 PQP458768 QAL458768 QKH458768 QUD458768 RDZ458768 RNV458768 RXR458768 SHN458768 SRJ458768 TBF458768 TLB458768 TUX458768 UET458768 UOP458768 UYL458768 VIH458768 VSD458768 WBZ458768 WLV458768 WVR458768 J524304 JF524304 TB524304 ACX524304 AMT524304 AWP524304 BGL524304 BQH524304 CAD524304 CJZ524304 CTV524304 DDR524304 DNN524304 DXJ524304 EHF524304 ERB524304 FAX524304 FKT524304 FUP524304 GEL524304 GOH524304 GYD524304 HHZ524304 HRV524304 IBR524304 ILN524304 IVJ524304 JFF524304 JPB524304 JYX524304 KIT524304 KSP524304 LCL524304 LMH524304 LWD524304 MFZ524304 MPV524304 MZR524304 NJN524304 NTJ524304 ODF524304 ONB524304 OWX524304 PGT524304 PQP524304 QAL524304 QKH524304 QUD524304 RDZ524304 RNV524304 RXR524304 SHN524304 SRJ524304 TBF524304 TLB524304 TUX524304 UET524304 UOP524304 UYL524304 VIH524304 VSD524304 WBZ524304 WLV524304 WVR524304 J589840 JF589840 TB589840 ACX589840 AMT589840 AWP589840 BGL589840 BQH589840 CAD589840 CJZ589840 CTV589840 DDR589840 DNN589840 DXJ589840 EHF589840 ERB589840 FAX589840 FKT589840 FUP589840 GEL589840 GOH589840 GYD589840 HHZ589840 HRV589840 IBR589840 ILN589840 IVJ589840 JFF589840 JPB589840 JYX589840 KIT589840 KSP589840 LCL589840 LMH589840 LWD589840 MFZ589840 MPV589840 MZR589840 NJN589840 NTJ589840 ODF589840 ONB589840 OWX589840 PGT589840 PQP589840 QAL589840 QKH589840 QUD589840 RDZ589840 RNV589840 RXR589840 SHN589840 SRJ589840 TBF589840 TLB589840 TUX589840 UET589840 UOP589840 UYL589840 VIH589840 VSD589840 WBZ589840 WLV589840 WVR589840 J655376 JF655376 TB655376 ACX655376 AMT655376 AWP655376 BGL655376 BQH655376 CAD655376 CJZ655376 CTV655376 DDR655376 DNN655376 DXJ655376 EHF655376 ERB655376 FAX655376 FKT655376 FUP655376 GEL655376 GOH655376 GYD655376 HHZ655376 HRV655376 IBR655376 ILN655376 IVJ655376 JFF655376 JPB655376 JYX655376 KIT655376 KSP655376 LCL655376 LMH655376 LWD655376 MFZ655376 MPV655376 MZR655376 NJN655376 NTJ655376 ODF655376 ONB655376 OWX655376 PGT655376 PQP655376 QAL655376 QKH655376 QUD655376 RDZ655376 RNV655376 RXR655376 SHN655376 SRJ655376 TBF655376 TLB655376 TUX655376 UET655376 UOP655376 UYL655376 VIH655376 VSD655376 WBZ655376 WLV655376 WVR655376 J720912 JF720912 TB720912 ACX720912 AMT720912 AWP720912 BGL720912 BQH720912 CAD720912 CJZ720912 CTV720912 DDR720912 DNN720912 DXJ720912 EHF720912 ERB720912 FAX720912 FKT720912 FUP720912 GEL720912 GOH720912 GYD720912 HHZ720912 HRV720912 IBR720912 ILN720912 IVJ720912 JFF720912 JPB720912 JYX720912 KIT720912 KSP720912 LCL720912 LMH720912 LWD720912 MFZ720912 MPV720912 MZR720912 NJN720912 NTJ720912 ODF720912 ONB720912 OWX720912 PGT720912 PQP720912 QAL720912 QKH720912 QUD720912 RDZ720912 RNV720912 RXR720912 SHN720912 SRJ720912 TBF720912 TLB720912 TUX720912 UET720912 UOP720912 UYL720912 VIH720912 VSD720912 WBZ720912 WLV720912 WVR720912 J786448 JF786448 TB786448 ACX786448 AMT786448 AWP786448 BGL786448 BQH786448 CAD786448 CJZ786448 CTV786448 DDR786448 DNN786448 DXJ786448 EHF786448 ERB786448 FAX786448 FKT786448 FUP786448 GEL786448 GOH786448 GYD786448 HHZ786448 HRV786448 IBR786448 ILN786448 IVJ786448 JFF786448 JPB786448 JYX786448 KIT786448 KSP786448 LCL786448 LMH786448 LWD786448 MFZ786448 MPV786448 MZR786448 NJN786448 NTJ786448 ODF786448 ONB786448 OWX786448 PGT786448 PQP786448 QAL786448 QKH786448 QUD786448 RDZ786448 RNV786448 RXR786448 SHN786448 SRJ786448 TBF786448 TLB786448 TUX786448 UET786448 UOP786448 UYL786448 VIH786448 VSD786448 WBZ786448 WLV786448 WVR786448 J851984 JF851984 TB851984 ACX851984 AMT851984 AWP851984 BGL851984 BQH851984 CAD851984 CJZ851984 CTV851984 DDR851984 DNN851984 DXJ851984 EHF851984 ERB851984 FAX851984 FKT851984 FUP851984 GEL851984 GOH851984 GYD851984 HHZ851984 HRV851984 IBR851984 ILN851984 IVJ851984 JFF851984 JPB851984 JYX851984 KIT851984 KSP851984 LCL851984 LMH851984 LWD851984 MFZ851984 MPV851984 MZR851984 NJN851984 NTJ851984 ODF851984 ONB851984 OWX851984 PGT851984 PQP851984 QAL851984 QKH851984 QUD851984 RDZ851984 RNV851984 RXR851984 SHN851984 SRJ851984 TBF851984 TLB851984 TUX851984 UET851984 UOP851984 UYL851984 VIH851984 VSD851984 WBZ851984 WLV851984 WVR851984 J917520 JF917520 TB917520 ACX917520 AMT917520 AWP917520 BGL917520 BQH917520 CAD917520 CJZ917520 CTV917520 DDR917520 DNN917520 DXJ917520 EHF917520 ERB917520 FAX917520 FKT917520 FUP917520 GEL917520 GOH917520 GYD917520 HHZ917520 HRV917520 IBR917520 ILN917520 IVJ917520 JFF917520 JPB917520 JYX917520 KIT917520 KSP917520 LCL917520 LMH917520 LWD917520 MFZ917520 MPV917520 MZR917520 NJN917520 NTJ917520 ODF917520 ONB917520 OWX917520 PGT917520 PQP917520 QAL917520 QKH917520 QUD917520 RDZ917520 RNV917520 RXR917520 SHN917520 SRJ917520 TBF917520 TLB917520 TUX917520 UET917520 UOP917520 UYL917520 VIH917520 VSD917520 WBZ917520 WLV917520 WVR917520 J983056 JF983056 TB983056 ACX983056 AMT983056 AWP983056 BGL983056 BQH983056 CAD983056 CJZ983056 CTV983056 DDR983056 DNN983056 DXJ983056 EHF983056 ERB983056 FAX983056 FKT983056 FUP983056 GEL983056 GOH983056 GYD983056 HHZ983056 HRV983056 IBR983056 ILN983056 IVJ983056 JFF983056 JPB983056 JYX983056 KIT983056 KSP983056 LCL983056 LMH983056 LWD983056 MFZ983056 MPV983056 MZR983056 NJN983056 NTJ983056 ODF983056 ONB983056 OWX983056 PGT983056 PQP983056 QAL983056 QKH983056 QUD983056 RDZ983056 RNV983056 RXR983056 SHN983056 SRJ983056 TBF983056 TLB983056 TUX983056 UET983056 UOP983056 UYL983056 VIH983056 VSD983056 WBZ983056 WLV983056 WVR983056">
      <formula1>0</formula1>
      <formula2>0</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51 JF65551 TB65551 ACX65551 AMT65551 AWP65551 BGL65551 BQH65551 CAD65551 CJZ65551 CTV65551 DDR65551 DNN65551 DXJ65551 EHF65551 ERB65551 FAX65551 FKT65551 FUP65551 GEL65551 GOH65551 GYD65551 HHZ65551 HRV65551 IBR65551 ILN65551 IVJ65551 JFF65551 JPB65551 JYX65551 KIT65551 KSP65551 LCL65551 LMH65551 LWD65551 MFZ65551 MPV65551 MZR65551 NJN65551 NTJ65551 ODF65551 ONB65551 OWX65551 PGT65551 PQP65551 QAL65551 QKH65551 QUD65551 RDZ65551 RNV65551 RXR65551 SHN65551 SRJ65551 TBF65551 TLB65551 TUX65551 UET65551 UOP65551 UYL65551 VIH65551 VSD65551 WBZ65551 WLV65551 WVR65551 J131087 JF131087 TB131087 ACX131087 AMT131087 AWP131087 BGL131087 BQH131087 CAD131087 CJZ131087 CTV131087 DDR131087 DNN131087 DXJ131087 EHF131087 ERB131087 FAX131087 FKT131087 FUP131087 GEL131087 GOH131087 GYD131087 HHZ131087 HRV131087 IBR131087 ILN131087 IVJ131087 JFF131087 JPB131087 JYX131087 KIT131087 KSP131087 LCL131087 LMH131087 LWD131087 MFZ131087 MPV131087 MZR131087 NJN131087 NTJ131087 ODF131087 ONB131087 OWX131087 PGT131087 PQP131087 QAL131087 QKH131087 QUD131087 RDZ131087 RNV131087 RXR131087 SHN131087 SRJ131087 TBF131087 TLB131087 TUX131087 UET131087 UOP131087 UYL131087 VIH131087 VSD131087 WBZ131087 WLV131087 WVR131087 J196623 JF196623 TB196623 ACX196623 AMT196623 AWP196623 BGL196623 BQH196623 CAD196623 CJZ196623 CTV196623 DDR196623 DNN196623 DXJ196623 EHF196623 ERB196623 FAX196623 FKT196623 FUP196623 GEL196623 GOH196623 GYD196623 HHZ196623 HRV196623 IBR196623 ILN196623 IVJ196623 JFF196623 JPB196623 JYX196623 KIT196623 KSP196623 LCL196623 LMH196623 LWD196623 MFZ196623 MPV196623 MZR196623 NJN196623 NTJ196623 ODF196623 ONB196623 OWX196623 PGT196623 PQP196623 QAL196623 QKH196623 QUD196623 RDZ196623 RNV196623 RXR196623 SHN196623 SRJ196623 TBF196623 TLB196623 TUX196623 UET196623 UOP196623 UYL196623 VIH196623 VSD196623 WBZ196623 WLV196623 WVR196623 J262159 JF262159 TB262159 ACX262159 AMT262159 AWP262159 BGL262159 BQH262159 CAD262159 CJZ262159 CTV262159 DDR262159 DNN262159 DXJ262159 EHF262159 ERB262159 FAX262159 FKT262159 FUP262159 GEL262159 GOH262159 GYD262159 HHZ262159 HRV262159 IBR262159 ILN262159 IVJ262159 JFF262159 JPB262159 JYX262159 KIT262159 KSP262159 LCL262159 LMH262159 LWD262159 MFZ262159 MPV262159 MZR262159 NJN262159 NTJ262159 ODF262159 ONB262159 OWX262159 PGT262159 PQP262159 QAL262159 QKH262159 QUD262159 RDZ262159 RNV262159 RXR262159 SHN262159 SRJ262159 TBF262159 TLB262159 TUX262159 UET262159 UOP262159 UYL262159 VIH262159 VSD262159 WBZ262159 WLV262159 WVR262159 J327695 JF327695 TB327695 ACX327695 AMT327695 AWP327695 BGL327695 BQH327695 CAD327695 CJZ327695 CTV327695 DDR327695 DNN327695 DXJ327695 EHF327695 ERB327695 FAX327695 FKT327695 FUP327695 GEL327695 GOH327695 GYD327695 HHZ327695 HRV327695 IBR327695 ILN327695 IVJ327695 JFF327695 JPB327695 JYX327695 KIT327695 KSP327695 LCL327695 LMH327695 LWD327695 MFZ327695 MPV327695 MZR327695 NJN327695 NTJ327695 ODF327695 ONB327695 OWX327695 PGT327695 PQP327695 QAL327695 QKH327695 QUD327695 RDZ327695 RNV327695 RXR327695 SHN327695 SRJ327695 TBF327695 TLB327695 TUX327695 UET327695 UOP327695 UYL327695 VIH327695 VSD327695 WBZ327695 WLV327695 WVR327695 J393231 JF393231 TB393231 ACX393231 AMT393231 AWP393231 BGL393231 BQH393231 CAD393231 CJZ393231 CTV393231 DDR393231 DNN393231 DXJ393231 EHF393231 ERB393231 FAX393231 FKT393231 FUP393231 GEL393231 GOH393231 GYD393231 HHZ393231 HRV393231 IBR393231 ILN393231 IVJ393231 JFF393231 JPB393231 JYX393231 KIT393231 KSP393231 LCL393231 LMH393231 LWD393231 MFZ393231 MPV393231 MZR393231 NJN393231 NTJ393231 ODF393231 ONB393231 OWX393231 PGT393231 PQP393231 QAL393231 QKH393231 QUD393231 RDZ393231 RNV393231 RXR393231 SHN393231 SRJ393231 TBF393231 TLB393231 TUX393231 UET393231 UOP393231 UYL393231 VIH393231 VSD393231 WBZ393231 WLV393231 WVR393231 J458767 JF458767 TB458767 ACX458767 AMT458767 AWP458767 BGL458767 BQH458767 CAD458767 CJZ458767 CTV458767 DDR458767 DNN458767 DXJ458767 EHF458767 ERB458767 FAX458767 FKT458767 FUP458767 GEL458767 GOH458767 GYD458767 HHZ458767 HRV458767 IBR458767 ILN458767 IVJ458767 JFF458767 JPB458767 JYX458767 KIT458767 KSP458767 LCL458767 LMH458767 LWD458767 MFZ458767 MPV458767 MZR458767 NJN458767 NTJ458767 ODF458767 ONB458767 OWX458767 PGT458767 PQP458767 QAL458767 QKH458767 QUD458767 RDZ458767 RNV458767 RXR458767 SHN458767 SRJ458767 TBF458767 TLB458767 TUX458767 UET458767 UOP458767 UYL458767 VIH458767 VSD458767 WBZ458767 WLV458767 WVR458767 J524303 JF524303 TB524303 ACX524303 AMT524303 AWP524303 BGL524303 BQH524303 CAD524303 CJZ524303 CTV524303 DDR524303 DNN524303 DXJ524303 EHF524303 ERB524303 FAX524303 FKT524303 FUP524303 GEL524303 GOH524303 GYD524303 HHZ524303 HRV524303 IBR524303 ILN524303 IVJ524303 JFF524303 JPB524303 JYX524303 KIT524303 KSP524303 LCL524303 LMH524303 LWD524303 MFZ524303 MPV524303 MZR524303 NJN524303 NTJ524303 ODF524303 ONB524303 OWX524303 PGT524303 PQP524303 QAL524303 QKH524303 QUD524303 RDZ524303 RNV524303 RXR524303 SHN524303 SRJ524303 TBF524303 TLB524303 TUX524303 UET524303 UOP524303 UYL524303 VIH524303 VSD524303 WBZ524303 WLV524303 WVR524303 J589839 JF589839 TB589839 ACX589839 AMT589839 AWP589839 BGL589839 BQH589839 CAD589839 CJZ589839 CTV589839 DDR589839 DNN589839 DXJ589839 EHF589839 ERB589839 FAX589839 FKT589839 FUP589839 GEL589839 GOH589839 GYD589839 HHZ589839 HRV589839 IBR589839 ILN589839 IVJ589839 JFF589839 JPB589839 JYX589839 KIT589839 KSP589839 LCL589839 LMH589839 LWD589839 MFZ589839 MPV589839 MZR589839 NJN589839 NTJ589839 ODF589839 ONB589839 OWX589839 PGT589839 PQP589839 QAL589839 QKH589839 QUD589839 RDZ589839 RNV589839 RXR589839 SHN589839 SRJ589839 TBF589839 TLB589839 TUX589839 UET589839 UOP589839 UYL589839 VIH589839 VSD589839 WBZ589839 WLV589839 WVR589839 J655375 JF655375 TB655375 ACX655375 AMT655375 AWP655375 BGL655375 BQH655375 CAD655375 CJZ655375 CTV655375 DDR655375 DNN655375 DXJ655375 EHF655375 ERB655375 FAX655375 FKT655375 FUP655375 GEL655375 GOH655375 GYD655375 HHZ655375 HRV655375 IBR655375 ILN655375 IVJ655375 JFF655375 JPB655375 JYX655375 KIT655375 KSP655375 LCL655375 LMH655375 LWD655375 MFZ655375 MPV655375 MZR655375 NJN655375 NTJ655375 ODF655375 ONB655375 OWX655375 PGT655375 PQP655375 QAL655375 QKH655375 QUD655375 RDZ655375 RNV655375 RXR655375 SHN655375 SRJ655375 TBF655375 TLB655375 TUX655375 UET655375 UOP655375 UYL655375 VIH655375 VSD655375 WBZ655375 WLV655375 WVR655375 J720911 JF720911 TB720911 ACX720911 AMT720911 AWP720911 BGL720911 BQH720911 CAD720911 CJZ720911 CTV720911 DDR720911 DNN720911 DXJ720911 EHF720911 ERB720911 FAX720911 FKT720911 FUP720911 GEL720911 GOH720911 GYD720911 HHZ720911 HRV720911 IBR720911 ILN720911 IVJ720911 JFF720911 JPB720911 JYX720911 KIT720911 KSP720911 LCL720911 LMH720911 LWD720911 MFZ720911 MPV720911 MZR720911 NJN720911 NTJ720911 ODF720911 ONB720911 OWX720911 PGT720911 PQP720911 QAL720911 QKH720911 QUD720911 RDZ720911 RNV720911 RXR720911 SHN720911 SRJ720911 TBF720911 TLB720911 TUX720911 UET720911 UOP720911 UYL720911 VIH720911 VSD720911 WBZ720911 WLV720911 WVR720911 J786447 JF786447 TB786447 ACX786447 AMT786447 AWP786447 BGL786447 BQH786447 CAD786447 CJZ786447 CTV786447 DDR786447 DNN786447 DXJ786447 EHF786447 ERB786447 FAX786447 FKT786447 FUP786447 GEL786447 GOH786447 GYD786447 HHZ786447 HRV786447 IBR786447 ILN786447 IVJ786447 JFF786447 JPB786447 JYX786447 KIT786447 KSP786447 LCL786447 LMH786447 LWD786447 MFZ786447 MPV786447 MZR786447 NJN786447 NTJ786447 ODF786447 ONB786447 OWX786447 PGT786447 PQP786447 QAL786447 QKH786447 QUD786447 RDZ786447 RNV786447 RXR786447 SHN786447 SRJ786447 TBF786447 TLB786447 TUX786447 UET786447 UOP786447 UYL786447 VIH786447 VSD786447 WBZ786447 WLV786447 WVR786447 J851983 JF851983 TB851983 ACX851983 AMT851983 AWP851983 BGL851983 BQH851983 CAD851983 CJZ851983 CTV851983 DDR851983 DNN851983 DXJ851983 EHF851983 ERB851983 FAX851983 FKT851983 FUP851983 GEL851983 GOH851983 GYD851983 HHZ851983 HRV851983 IBR851983 ILN851983 IVJ851983 JFF851983 JPB851983 JYX851983 KIT851983 KSP851983 LCL851983 LMH851983 LWD851983 MFZ851983 MPV851983 MZR851983 NJN851983 NTJ851983 ODF851983 ONB851983 OWX851983 PGT851983 PQP851983 QAL851983 QKH851983 QUD851983 RDZ851983 RNV851983 RXR851983 SHN851983 SRJ851983 TBF851983 TLB851983 TUX851983 UET851983 UOP851983 UYL851983 VIH851983 VSD851983 WBZ851983 WLV851983 WVR851983 J917519 JF917519 TB917519 ACX917519 AMT917519 AWP917519 BGL917519 BQH917519 CAD917519 CJZ917519 CTV917519 DDR917519 DNN917519 DXJ917519 EHF917519 ERB917519 FAX917519 FKT917519 FUP917519 GEL917519 GOH917519 GYD917519 HHZ917519 HRV917519 IBR917519 ILN917519 IVJ917519 JFF917519 JPB917519 JYX917519 KIT917519 KSP917519 LCL917519 LMH917519 LWD917519 MFZ917519 MPV917519 MZR917519 NJN917519 NTJ917519 ODF917519 ONB917519 OWX917519 PGT917519 PQP917519 QAL917519 QKH917519 QUD917519 RDZ917519 RNV917519 RXR917519 SHN917519 SRJ917519 TBF917519 TLB917519 TUX917519 UET917519 UOP917519 UYL917519 VIH917519 VSD917519 WBZ917519 WLV917519 WVR917519 J983055 JF983055 TB983055 ACX983055 AMT983055 AWP983055 BGL983055 BQH983055 CAD983055 CJZ983055 CTV983055 DDR983055 DNN983055 DXJ983055 EHF983055 ERB983055 FAX983055 FKT983055 FUP983055 GEL983055 GOH983055 GYD983055 HHZ983055 HRV983055 IBR983055 ILN983055 IVJ983055 JFF983055 JPB983055 JYX983055 KIT983055 KSP983055 LCL983055 LMH983055 LWD983055 MFZ983055 MPV983055 MZR983055 NJN983055 NTJ983055 ODF983055 ONB983055 OWX983055 PGT983055 PQP983055 QAL983055 QKH983055 QUD983055 RDZ983055 RNV983055 RXR983055 SHN983055 SRJ983055 TBF983055 TLB983055 TUX983055 UET983055 UOP983055 UYL983055 VIH983055 VSD983055 WBZ983055 WLV983055 WVR983055">
      <formula1>0</formula1>
      <formula2>1</formula2>
    </dataValidation>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45:J65550 JF65545:JF65550 TB65545:TB65550 ACX65545:ACX65550 AMT65545:AMT65550 AWP65545:AWP65550 BGL65545:BGL65550 BQH65545:BQH65550 CAD65545:CAD65550 CJZ65545:CJZ65550 CTV65545:CTV65550 DDR65545:DDR65550 DNN65545:DNN65550 DXJ65545:DXJ65550 EHF65545:EHF65550 ERB65545:ERB65550 FAX65545:FAX65550 FKT65545:FKT65550 FUP65545:FUP65550 GEL65545:GEL65550 GOH65545:GOH65550 GYD65545:GYD65550 HHZ65545:HHZ65550 HRV65545:HRV65550 IBR65545:IBR65550 ILN65545:ILN65550 IVJ65545:IVJ65550 JFF65545:JFF65550 JPB65545:JPB65550 JYX65545:JYX65550 KIT65545:KIT65550 KSP65545:KSP65550 LCL65545:LCL65550 LMH65545:LMH65550 LWD65545:LWD65550 MFZ65545:MFZ65550 MPV65545:MPV65550 MZR65545:MZR65550 NJN65545:NJN65550 NTJ65545:NTJ65550 ODF65545:ODF65550 ONB65545:ONB65550 OWX65545:OWX65550 PGT65545:PGT65550 PQP65545:PQP65550 QAL65545:QAL65550 QKH65545:QKH65550 QUD65545:QUD65550 RDZ65545:RDZ65550 RNV65545:RNV65550 RXR65545:RXR65550 SHN65545:SHN65550 SRJ65545:SRJ65550 TBF65545:TBF65550 TLB65545:TLB65550 TUX65545:TUX65550 UET65545:UET65550 UOP65545:UOP65550 UYL65545:UYL65550 VIH65545:VIH65550 VSD65545:VSD65550 WBZ65545:WBZ65550 WLV65545:WLV65550 WVR65545:WVR65550 J131081:J131086 JF131081:JF131086 TB131081:TB131086 ACX131081:ACX131086 AMT131081:AMT131086 AWP131081:AWP131086 BGL131081:BGL131086 BQH131081:BQH131086 CAD131081:CAD131086 CJZ131081:CJZ131086 CTV131081:CTV131086 DDR131081:DDR131086 DNN131081:DNN131086 DXJ131081:DXJ131086 EHF131081:EHF131086 ERB131081:ERB131086 FAX131081:FAX131086 FKT131081:FKT131086 FUP131081:FUP131086 GEL131081:GEL131086 GOH131081:GOH131086 GYD131081:GYD131086 HHZ131081:HHZ131086 HRV131081:HRV131086 IBR131081:IBR131086 ILN131081:ILN131086 IVJ131081:IVJ131086 JFF131081:JFF131086 JPB131081:JPB131086 JYX131081:JYX131086 KIT131081:KIT131086 KSP131081:KSP131086 LCL131081:LCL131086 LMH131081:LMH131086 LWD131081:LWD131086 MFZ131081:MFZ131086 MPV131081:MPV131086 MZR131081:MZR131086 NJN131081:NJN131086 NTJ131081:NTJ131086 ODF131081:ODF131086 ONB131081:ONB131086 OWX131081:OWX131086 PGT131081:PGT131086 PQP131081:PQP131086 QAL131081:QAL131086 QKH131081:QKH131086 QUD131081:QUD131086 RDZ131081:RDZ131086 RNV131081:RNV131086 RXR131081:RXR131086 SHN131081:SHN131086 SRJ131081:SRJ131086 TBF131081:TBF131086 TLB131081:TLB131086 TUX131081:TUX131086 UET131081:UET131086 UOP131081:UOP131086 UYL131081:UYL131086 VIH131081:VIH131086 VSD131081:VSD131086 WBZ131081:WBZ131086 WLV131081:WLV131086 WVR131081:WVR131086 J196617:J196622 JF196617:JF196622 TB196617:TB196622 ACX196617:ACX196622 AMT196617:AMT196622 AWP196617:AWP196622 BGL196617:BGL196622 BQH196617:BQH196622 CAD196617:CAD196622 CJZ196617:CJZ196622 CTV196617:CTV196622 DDR196617:DDR196622 DNN196617:DNN196622 DXJ196617:DXJ196622 EHF196617:EHF196622 ERB196617:ERB196622 FAX196617:FAX196622 FKT196617:FKT196622 FUP196617:FUP196622 GEL196617:GEL196622 GOH196617:GOH196622 GYD196617:GYD196622 HHZ196617:HHZ196622 HRV196617:HRV196622 IBR196617:IBR196622 ILN196617:ILN196622 IVJ196617:IVJ196622 JFF196617:JFF196622 JPB196617:JPB196622 JYX196617:JYX196622 KIT196617:KIT196622 KSP196617:KSP196622 LCL196617:LCL196622 LMH196617:LMH196622 LWD196617:LWD196622 MFZ196617:MFZ196622 MPV196617:MPV196622 MZR196617:MZR196622 NJN196617:NJN196622 NTJ196617:NTJ196622 ODF196617:ODF196622 ONB196617:ONB196622 OWX196617:OWX196622 PGT196617:PGT196622 PQP196617:PQP196622 QAL196617:QAL196622 QKH196617:QKH196622 QUD196617:QUD196622 RDZ196617:RDZ196622 RNV196617:RNV196622 RXR196617:RXR196622 SHN196617:SHN196622 SRJ196617:SRJ196622 TBF196617:TBF196622 TLB196617:TLB196622 TUX196617:TUX196622 UET196617:UET196622 UOP196617:UOP196622 UYL196617:UYL196622 VIH196617:VIH196622 VSD196617:VSD196622 WBZ196617:WBZ196622 WLV196617:WLV196622 WVR196617:WVR196622 J262153:J262158 JF262153:JF262158 TB262153:TB262158 ACX262153:ACX262158 AMT262153:AMT262158 AWP262153:AWP262158 BGL262153:BGL262158 BQH262153:BQH262158 CAD262153:CAD262158 CJZ262153:CJZ262158 CTV262153:CTV262158 DDR262153:DDR262158 DNN262153:DNN262158 DXJ262153:DXJ262158 EHF262153:EHF262158 ERB262153:ERB262158 FAX262153:FAX262158 FKT262153:FKT262158 FUP262153:FUP262158 GEL262153:GEL262158 GOH262153:GOH262158 GYD262153:GYD262158 HHZ262153:HHZ262158 HRV262153:HRV262158 IBR262153:IBR262158 ILN262153:ILN262158 IVJ262153:IVJ262158 JFF262153:JFF262158 JPB262153:JPB262158 JYX262153:JYX262158 KIT262153:KIT262158 KSP262153:KSP262158 LCL262153:LCL262158 LMH262153:LMH262158 LWD262153:LWD262158 MFZ262153:MFZ262158 MPV262153:MPV262158 MZR262153:MZR262158 NJN262153:NJN262158 NTJ262153:NTJ262158 ODF262153:ODF262158 ONB262153:ONB262158 OWX262153:OWX262158 PGT262153:PGT262158 PQP262153:PQP262158 QAL262153:QAL262158 QKH262153:QKH262158 QUD262153:QUD262158 RDZ262153:RDZ262158 RNV262153:RNV262158 RXR262153:RXR262158 SHN262153:SHN262158 SRJ262153:SRJ262158 TBF262153:TBF262158 TLB262153:TLB262158 TUX262153:TUX262158 UET262153:UET262158 UOP262153:UOP262158 UYL262153:UYL262158 VIH262153:VIH262158 VSD262153:VSD262158 WBZ262153:WBZ262158 WLV262153:WLV262158 WVR262153:WVR262158 J327689:J327694 JF327689:JF327694 TB327689:TB327694 ACX327689:ACX327694 AMT327689:AMT327694 AWP327689:AWP327694 BGL327689:BGL327694 BQH327689:BQH327694 CAD327689:CAD327694 CJZ327689:CJZ327694 CTV327689:CTV327694 DDR327689:DDR327694 DNN327689:DNN327694 DXJ327689:DXJ327694 EHF327689:EHF327694 ERB327689:ERB327694 FAX327689:FAX327694 FKT327689:FKT327694 FUP327689:FUP327694 GEL327689:GEL327694 GOH327689:GOH327694 GYD327689:GYD327694 HHZ327689:HHZ327694 HRV327689:HRV327694 IBR327689:IBR327694 ILN327689:ILN327694 IVJ327689:IVJ327694 JFF327689:JFF327694 JPB327689:JPB327694 JYX327689:JYX327694 KIT327689:KIT327694 KSP327689:KSP327694 LCL327689:LCL327694 LMH327689:LMH327694 LWD327689:LWD327694 MFZ327689:MFZ327694 MPV327689:MPV327694 MZR327689:MZR327694 NJN327689:NJN327694 NTJ327689:NTJ327694 ODF327689:ODF327694 ONB327689:ONB327694 OWX327689:OWX327694 PGT327689:PGT327694 PQP327689:PQP327694 QAL327689:QAL327694 QKH327689:QKH327694 QUD327689:QUD327694 RDZ327689:RDZ327694 RNV327689:RNV327694 RXR327689:RXR327694 SHN327689:SHN327694 SRJ327689:SRJ327694 TBF327689:TBF327694 TLB327689:TLB327694 TUX327689:TUX327694 UET327689:UET327694 UOP327689:UOP327694 UYL327689:UYL327694 VIH327689:VIH327694 VSD327689:VSD327694 WBZ327689:WBZ327694 WLV327689:WLV327694 WVR327689:WVR327694 J393225:J393230 JF393225:JF393230 TB393225:TB393230 ACX393225:ACX393230 AMT393225:AMT393230 AWP393225:AWP393230 BGL393225:BGL393230 BQH393225:BQH393230 CAD393225:CAD393230 CJZ393225:CJZ393230 CTV393225:CTV393230 DDR393225:DDR393230 DNN393225:DNN393230 DXJ393225:DXJ393230 EHF393225:EHF393230 ERB393225:ERB393230 FAX393225:FAX393230 FKT393225:FKT393230 FUP393225:FUP393230 GEL393225:GEL393230 GOH393225:GOH393230 GYD393225:GYD393230 HHZ393225:HHZ393230 HRV393225:HRV393230 IBR393225:IBR393230 ILN393225:ILN393230 IVJ393225:IVJ393230 JFF393225:JFF393230 JPB393225:JPB393230 JYX393225:JYX393230 KIT393225:KIT393230 KSP393225:KSP393230 LCL393225:LCL393230 LMH393225:LMH393230 LWD393225:LWD393230 MFZ393225:MFZ393230 MPV393225:MPV393230 MZR393225:MZR393230 NJN393225:NJN393230 NTJ393225:NTJ393230 ODF393225:ODF393230 ONB393225:ONB393230 OWX393225:OWX393230 PGT393225:PGT393230 PQP393225:PQP393230 QAL393225:QAL393230 QKH393225:QKH393230 QUD393225:QUD393230 RDZ393225:RDZ393230 RNV393225:RNV393230 RXR393225:RXR393230 SHN393225:SHN393230 SRJ393225:SRJ393230 TBF393225:TBF393230 TLB393225:TLB393230 TUX393225:TUX393230 UET393225:UET393230 UOP393225:UOP393230 UYL393225:UYL393230 VIH393225:VIH393230 VSD393225:VSD393230 WBZ393225:WBZ393230 WLV393225:WLV393230 WVR393225:WVR393230 J458761:J458766 JF458761:JF458766 TB458761:TB458766 ACX458761:ACX458766 AMT458761:AMT458766 AWP458761:AWP458766 BGL458761:BGL458766 BQH458761:BQH458766 CAD458761:CAD458766 CJZ458761:CJZ458766 CTV458761:CTV458766 DDR458761:DDR458766 DNN458761:DNN458766 DXJ458761:DXJ458766 EHF458761:EHF458766 ERB458761:ERB458766 FAX458761:FAX458766 FKT458761:FKT458766 FUP458761:FUP458766 GEL458761:GEL458766 GOH458761:GOH458766 GYD458761:GYD458766 HHZ458761:HHZ458766 HRV458761:HRV458766 IBR458761:IBR458766 ILN458761:ILN458766 IVJ458761:IVJ458766 JFF458761:JFF458766 JPB458761:JPB458766 JYX458761:JYX458766 KIT458761:KIT458766 KSP458761:KSP458766 LCL458761:LCL458766 LMH458761:LMH458766 LWD458761:LWD458766 MFZ458761:MFZ458766 MPV458761:MPV458766 MZR458761:MZR458766 NJN458761:NJN458766 NTJ458761:NTJ458766 ODF458761:ODF458766 ONB458761:ONB458766 OWX458761:OWX458766 PGT458761:PGT458766 PQP458761:PQP458766 QAL458761:QAL458766 QKH458761:QKH458766 QUD458761:QUD458766 RDZ458761:RDZ458766 RNV458761:RNV458766 RXR458761:RXR458766 SHN458761:SHN458766 SRJ458761:SRJ458766 TBF458761:TBF458766 TLB458761:TLB458766 TUX458761:TUX458766 UET458761:UET458766 UOP458761:UOP458766 UYL458761:UYL458766 VIH458761:VIH458766 VSD458761:VSD458766 WBZ458761:WBZ458766 WLV458761:WLV458766 WVR458761:WVR458766 J524297:J524302 JF524297:JF524302 TB524297:TB524302 ACX524297:ACX524302 AMT524297:AMT524302 AWP524297:AWP524302 BGL524297:BGL524302 BQH524297:BQH524302 CAD524297:CAD524302 CJZ524297:CJZ524302 CTV524297:CTV524302 DDR524297:DDR524302 DNN524297:DNN524302 DXJ524297:DXJ524302 EHF524297:EHF524302 ERB524297:ERB524302 FAX524297:FAX524302 FKT524297:FKT524302 FUP524297:FUP524302 GEL524297:GEL524302 GOH524297:GOH524302 GYD524297:GYD524302 HHZ524297:HHZ524302 HRV524297:HRV524302 IBR524297:IBR524302 ILN524297:ILN524302 IVJ524297:IVJ524302 JFF524297:JFF524302 JPB524297:JPB524302 JYX524297:JYX524302 KIT524297:KIT524302 KSP524297:KSP524302 LCL524297:LCL524302 LMH524297:LMH524302 LWD524297:LWD524302 MFZ524297:MFZ524302 MPV524297:MPV524302 MZR524297:MZR524302 NJN524297:NJN524302 NTJ524297:NTJ524302 ODF524297:ODF524302 ONB524297:ONB524302 OWX524297:OWX524302 PGT524297:PGT524302 PQP524297:PQP524302 QAL524297:QAL524302 QKH524297:QKH524302 QUD524297:QUD524302 RDZ524297:RDZ524302 RNV524297:RNV524302 RXR524297:RXR524302 SHN524297:SHN524302 SRJ524297:SRJ524302 TBF524297:TBF524302 TLB524297:TLB524302 TUX524297:TUX524302 UET524297:UET524302 UOP524297:UOP524302 UYL524297:UYL524302 VIH524297:VIH524302 VSD524297:VSD524302 WBZ524297:WBZ524302 WLV524297:WLV524302 WVR524297:WVR524302 J589833:J589838 JF589833:JF589838 TB589833:TB589838 ACX589833:ACX589838 AMT589833:AMT589838 AWP589833:AWP589838 BGL589833:BGL589838 BQH589833:BQH589838 CAD589833:CAD589838 CJZ589833:CJZ589838 CTV589833:CTV589838 DDR589833:DDR589838 DNN589833:DNN589838 DXJ589833:DXJ589838 EHF589833:EHF589838 ERB589833:ERB589838 FAX589833:FAX589838 FKT589833:FKT589838 FUP589833:FUP589838 GEL589833:GEL589838 GOH589833:GOH589838 GYD589833:GYD589838 HHZ589833:HHZ589838 HRV589833:HRV589838 IBR589833:IBR589838 ILN589833:ILN589838 IVJ589833:IVJ589838 JFF589833:JFF589838 JPB589833:JPB589838 JYX589833:JYX589838 KIT589833:KIT589838 KSP589833:KSP589838 LCL589833:LCL589838 LMH589833:LMH589838 LWD589833:LWD589838 MFZ589833:MFZ589838 MPV589833:MPV589838 MZR589833:MZR589838 NJN589833:NJN589838 NTJ589833:NTJ589838 ODF589833:ODF589838 ONB589833:ONB589838 OWX589833:OWX589838 PGT589833:PGT589838 PQP589833:PQP589838 QAL589833:QAL589838 QKH589833:QKH589838 QUD589833:QUD589838 RDZ589833:RDZ589838 RNV589833:RNV589838 RXR589833:RXR589838 SHN589833:SHN589838 SRJ589833:SRJ589838 TBF589833:TBF589838 TLB589833:TLB589838 TUX589833:TUX589838 UET589833:UET589838 UOP589833:UOP589838 UYL589833:UYL589838 VIH589833:VIH589838 VSD589833:VSD589838 WBZ589833:WBZ589838 WLV589833:WLV589838 WVR589833:WVR589838 J655369:J655374 JF655369:JF655374 TB655369:TB655374 ACX655369:ACX655374 AMT655369:AMT655374 AWP655369:AWP655374 BGL655369:BGL655374 BQH655369:BQH655374 CAD655369:CAD655374 CJZ655369:CJZ655374 CTV655369:CTV655374 DDR655369:DDR655374 DNN655369:DNN655374 DXJ655369:DXJ655374 EHF655369:EHF655374 ERB655369:ERB655374 FAX655369:FAX655374 FKT655369:FKT655374 FUP655369:FUP655374 GEL655369:GEL655374 GOH655369:GOH655374 GYD655369:GYD655374 HHZ655369:HHZ655374 HRV655369:HRV655374 IBR655369:IBR655374 ILN655369:ILN655374 IVJ655369:IVJ655374 JFF655369:JFF655374 JPB655369:JPB655374 JYX655369:JYX655374 KIT655369:KIT655374 KSP655369:KSP655374 LCL655369:LCL655374 LMH655369:LMH655374 LWD655369:LWD655374 MFZ655369:MFZ655374 MPV655369:MPV655374 MZR655369:MZR655374 NJN655369:NJN655374 NTJ655369:NTJ655374 ODF655369:ODF655374 ONB655369:ONB655374 OWX655369:OWX655374 PGT655369:PGT655374 PQP655369:PQP655374 QAL655369:QAL655374 QKH655369:QKH655374 QUD655369:QUD655374 RDZ655369:RDZ655374 RNV655369:RNV655374 RXR655369:RXR655374 SHN655369:SHN655374 SRJ655369:SRJ655374 TBF655369:TBF655374 TLB655369:TLB655374 TUX655369:TUX655374 UET655369:UET655374 UOP655369:UOP655374 UYL655369:UYL655374 VIH655369:VIH655374 VSD655369:VSD655374 WBZ655369:WBZ655374 WLV655369:WLV655374 WVR655369:WVR655374 J720905:J720910 JF720905:JF720910 TB720905:TB720910 ACX720905:ACX720910 AMT720905:AMT720910 AWP720905:AWP720910 BGL720905:BGL720910 BQH720905:BQH720910 CAD720905:CAD720910 CJZ720905:CJZ720910 CTV720905:CTV720910 DDR720905:DDR720910 DNN720905:DNN720910 DXJ720905:DXJ720910 EHF720905:EHF720910 ERB720905:ERB720910 FAX720905:FAX720910 FKT720905:FKT720910 FUP720905:FUP720910 GEL720905:GEL720910 GOH720905:GOH720910 GYD720905:GYD720910 HHZ720905:HHZ720910 HRV720905:HRV720910 IBR720905:IBR720910 ILN720905:ILN720910 IVJ720905:IVJ720910 JFF720905:JFF720910 JPB720905:JPB720910 JYX720905:JYX720910 KIT720905:KIT720910 KSP720905:KSP720910 LCL720905:LCL720910 LMH720905:LMH720910 LWD720905:LWD720910 MFZ720905:MFZ720910 MPV720905:MPV720910 MZR720905:MZR720910 NJN720905:NJN720910 NTJ720905:NTJ720910 ODF720905:ODF720910 ONB720905:ONB720910 OWX720905:OWX720910 PGT720905:PGT720910 PQP720905:PQP720910 QAL720905:QAL720910 QKH720905:QKH720910 QUD720905:QUD720910 RDZ720905:RDZ720910 RNV720905:RNV720910 RXR720905:RXR720910 SHN720905:SHN720910 SRJ720905:SRJ720910 TBF720905:TBF720910 TLB720905:TLB720910 TUX720905:TUX720910 UET720905:UET720910 UOP720905:UOP720910 UYL720905:UYL720910 VIH720905:VIH720910 VSD720905:VSD720910 WBZ720905:WBZ720910 WLV720905:WLV720910 WVR720905:WVR720910 J786441:J786446 JF786441:JF786446 TB786441:TB786446 ACX786441:ACX786446 AMT786441:AMT786446 AWP786441:AWP786446 BGL786441:BGL786446 BQH786441:BQH786446 CAD786441:CAD786446 CJZ786441:CJZ786446 CTV786441:CTV786446 DDR786441:DDR786446 DNN786441:DNN786446 DXJ786441:DXJ786446 EHF786441:EHF786446 ERB786441:ERB786446 FAX786441:FAX786446 FKT786441:FKT786446 FUP786441:FUP786446 GEL786441:GEL786446 GOH786441:GOH786446 GYD786441:GYD786446 HHZ786441:HHZ786446 HRV786441:HRV786446 IBR786441:IBR786446 ILN786441:ILN786446 IVJ786441:IVJ786446 JFF786441:JFF786446 JPB786441:JPB786446 JYX786441:JYX786446 KIT786441:KIT786446 KSP786441:KSP786446 LCL786441:LCL786446 LMH786441:LMH786446 LWD786441:LWD786446 MFZ786441:MFZ786446 MPV786441:MPV786446 MZR786441:MZR786446 NJN786441:NJN786446 NTJ786441:NTJ786446 ODF786441:ODF786446 ONB786441:ONB786446 OWX786441:OWX786446 PGT786441:PGT786446 PQP786441:PQP786446 QAL786441:QAL786446 QKH786441:QKH786446 QUD786441:QUD786446 RDZ786441:RDZ786446 RNV786441:RNV786446 RXR786441:RXR786446 SHN786441:SHN786446 SRJ786441:SRJ786446 TBF786441:TBF786446 TLB786441:TLB786446 TUX786441:TUX786446 UET786441:UET786446 UOP786441:UOP786446 UYL786441:UYL786446 VIH786441:VIH786446 VSD786441:VSD786446 WBZ786441:WBZ786446 WLV786441:WLV786446 WVR786441:WVR786446 J851977:J851982 JF851977:JF851982 TB851977:TB851982 ACX851977:ACX851982 AMT851977:AMT851982 AWP851977:AWP851982 BGL851977:BGL851982 BQH851977:BQH851982 CAD851977:CAD851982 CJZ851977:CJZ851982 CTV851977:CTV851982 DDR851977:DDR851982 DNN851977:DNN851982 DXJ851977:DXJ851982 EHF851977:EHF851982 ERB851977:ERB851982 FAX851977:FAX851982 FKT851977:FKT851982 FUP851977:FUP851982 GEL851977:GEL851982 GOH851977:GOH851982 GYD851977:GYD851982 HHZ851977:HHZ851982 HRV851977:HRV851982 IBR851977:IBR851982 ILN851977:ILN851982 IVJ851977:IVJ851982 JFF851977:JFF851982 JPB851977:JPB851982 JYX851977:JYX851982 KIT851977:KIT851982 KSP851977:KSP851982 LCL851977:LCL851982 LMH851977:LMH851982 LWD851977:LWD851982 MFZ851977:MFZ851982 MPV851977:MPV851982 MZR851977:MZR851982 NJN851977:NJN851982 NTJ851977:NTJ851982 ODF851977:ODF851982 ONB851977:ONB851982 OWX851977:OWX851982 PGT851977:PGT851982 PQP851977:PQP851982 QAL851977:QAL851982 QKH851977:QKH851982 QUD851977:QUD851982 RDZ851977:RDZ851982 RNV851977:RNV851982 RXR851977:RXR851982 SHN851977:SHN851982 SRJ851977:SRJ851982 TBF851977:TBF851982 TLB851977:TLB851982 TUX851977:TUX851982 UET851977:UET851982 UOP851977:UOP851982 UYL851977:UYL851982 VIH851977:VIH851982 VSD851977:VSD851982 WBZ851977:WBZ851982 WLV851977:WLV851982 WVR851977:WVR851982 J917513:J917518 JF917513:JF917518 TB917513:TB917518 ACX917513:ACX917518 AMT917513:AMT917518 AWP917513:AWP917518 BGL917513:BGL917518 BQH917513:BQH917518 CAD917513:CAD917518 CJZ917513:CJZ917518 CTV917513:CTV917518 DDR917513:DDR917518 DNN917513:DNN917518 DXJ917513:DXJ917518 EHF917513:EHF917518 ERB917513:ERB917518 FAX917513:FAX917518 FKT917513:FKT917518 FUP917513:FUP917518 GEL917513:GEL917518 GOH917513:GOH917518 GYD917513:GYD917518 HHZ917513:HHZ917518 HRV917513:HRV917518 IBR917513:IBR917518 ILN917513:ILN917518 IVJ917513:IVJ917518 JFF917513:JFF917518 JPB917513:JPB917518 JYX917513:JYX917518 KIT917513:KIT917518 KSP917513:KSP917518 LCL917513:LCL917518 LMH917513:LMH917518 LWD917513:LWD917518 MFZ917513:MFZ917518 MPV917513:MPV917518 MZR917513:MZR917518 NJN917513:NJN917518 NTJ917513:NTJ917518 ODF917513:ODF917518 ONB917513:ONB917518 OWX917513:OWX917518 PGT917513:PGT917518 PQP917513:PQP917518 QAL917513:QAL917518 QKH917513:QKH917518 QUD917513:QUD917518 RDZ917513:RDZ917518 RNV917513:RNV917518 RXR917513:RXR917518 SHN917513:SHN917518 SRJ917513:SRJ917518 TBF917513:TBF917518 TLB917513:TLB917518 TUX917513:TUX917518 UET917513:UET917518 UOP917513:UOP917518 UYL917513:UYL917518 VIH917513:VIH917518 VSD917513:VSD917518 WBZ917513:WBZ917518 WLV917513:WLV917518 WVR917513:WVR917518 J983049:J983054 JF983049:JF983054 TB983049:TB983054 ACX983049:ACX983054 AMT983049:AMT983054 AWP983049:AWP983054 BGL983049:BGL983054 BQH983049:BQH983054 CAD983049:CAD983054 CJZ983049:CJZ983054 CTV983049:CTV983054 DDR983049:DDR983054 DNN983049:DNN983054 DXJ983049:DXJ983054 EHF983049:EHF983054 ERB983049:ERB983054 FAX983049:FAX983054 FKT983049:FKT983054 FUP983049:FUP983054 GEL983049:GEL983054 GOH983049:GOH983054 GYD983049:GYD983054 HHZ983049:HHZ983054 HRV983049:HRV983054 IBR983049:IBR983054 ILN983049:ILN983054 IVJ983049:IVJ983054 JFF983049:JFF983054 JPB983049:JPB983054 JYX983049:JYX983054 KIT983049:KIT983054 KSP983049:KSP983054 LCL983049:LCL983054 LMH983049:LMH983054 LWD983049:LWD983054 MFZ983049:MFZ983054 MPV983049:MPV983054 MZR983049:MZR983054 NJN983049:NJN983054 NTJ983049:NTJ983054 ODF983049:ODF983054 ONB983049:ONB983054 OWX983049:OWX983054 PGT983049:PGT983054 PQP983049:PQP983054 QAL983049:QAL983054 QKH983049:QKH983054 QUD983049:QUD983054 RDZ983049:RDZ983054 RNV983049:RNV983054 RXR983049:RXR983054 SHN983049:SHN983054 SRJ983049:SRJ983054 TBF983049:TBF983054 TLB983049:TLB983054 TUX983049:TUX983054 UET983049:UET983054 UOP983049:UOP983054 UYL983049:UYL983054 VIH983049:VIH983054 VSD983049:VSD983054 WBZ983049:WBZ983054 WLV983049:WLV983054 WVR983049:WVR983054">
      <formula1>0</formula1>
      <formula2>1</formula2>
    </dataValidation>
  </dataValidations>
  <pageMargins left="0.51181102362204722" right="0.51181102362204722" top="0.78740157480314965" bottom="0.78740157480314965" header="0.31496062992125984" footer="0.31496062992125984"/>
  <pageSetup paperSize="9" scale="85" orientation="portrait" r:id="rId1"/>
  <headerFooter>
    <oddFooter>&amp;CAv. Irmã Tosta - Maria José Tosta, 61 - Esplanada - Pouso Alegre/MG    l    CNPJ  23.896.707 / 0001-23   l     Tel : (35) 99908.9053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15</vt:i4>
      </vt:variant>
    </vt:vector>
  </HeadingPairs>
  <TitlesOfParts>
    <vt:vector size="25" baseType="lpstr">
      <vt:lpstr>4 medição</vt:lpstr>
      <vt:lpstr>3 medição</vt:lpstr>
      <vt:lpstr>2 medição</vt:lpstr>
      <vt:lpstr>1 medição</vt:lpstr>
      <vt:lpstr>planilha principal</vt:lpstr>
      <vt:lpstr>compensação 2med</vt:lpstr>
      <vt:lpstr>compensação 1med</vt:lpstr>
      <vt:lpstr>cronograma</vt:lpstr>
      <vt:lpstr>memorial descritivo</vt:lpstr>
      <vt:lpstr>BDI</vt:lpstr>
      <vt:lpstr>'1 medição'!Area_de_impressao</vt:lpstr>
      <vt:lpstr>'2 medição'!Area_de_impressao</vt:lpstr>
      <vt:lpstr>'3 medição'!Area_de_impressao</vt:lpstr>
      <vt:lpstr>'4 medição'!Area_de_impressao</vt:lpstr>
      <vt:lpstr>BDI!Area_de_impressao</vt:lpstr>
      <vt:lpstr>'compensação 1med'!Area_de_impressao</vt:lpstr>
      <vt:lpstr>'compensação 2med'!Area_de_impressao</vt:lpstr>
      <vt:lpstr>cronograma!Area_de_impressao</vt:lpstr>
      <vt:lpstr>'memorial descritivo'!Area_de_impressao</vt:lpstr>
      <vt:lpstr>'planilha principal'!Area_de_impressao</vt:lpstr>
      <vt:lpstr>'1 medição'!Titulos_de_impressao</vt:lpstr>
      <vt:lpstr>'2 medição'!Titulos_de_impressao</vt:lpstr>
      <vt:lpstr>'3 medição'!Titulos_de_impressao</vt:lpstr>
      <vt:lpstr>'4 medição'!Titulos_de_impressao</vt:lpstr>
      <vt:lpstr>'planilha principal'!Titulos_de_impressao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dc:creator>
  <cp:lastModifiedBy>Éliton Fábio Santos</cp:lastModifiedBy>
  <cp:lastPrinted>2026-06-12T09:20:29Z</cp:lastPrinted>
  <dcterms:created xsi:type="dcterms:W3CDTF">2025-06-23T13:29:35Z</dcterms:created>
  <dcterms:modified xsi:type="dcterms:W3CDTF">2026-08-12T12:36:19Z</dcterms:modified>
</cp:coreProperties>
</file>