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ctrlProps/ctrlProp10.xml" ContentType="application/vnd.ms-excel.controlproperti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scanner\Edital 2024\Concorrencia\CONVENIO BLOQUETE 9503382023\"/>
    </mc:Choice>
  </mc:AlternateContent>
  <bookViews>
    <workbookView xWindow="0" yWindow="0" windowWidth="20460" windowHeight="7590" tabRatio="801" activeTab="10"/>
  </bookViews>
  <sheets>
    <sheet name="MENU" sheetId="15" r:id="rId1"/>
    <sheet name="DADOS" sheetId="2" r:id="rId2"/>
    <sheet name="NOVO" sheetId="3" r:id="rId3"/>
    <sheet name="BDI" sheetId="4" r:id="rId4"/>
    <sheet name="ORÇAMENTO" sheetId="5" r:id="rId5"/>
    <sheet name="CÁLCULO" sheetId="6" r:id="rId6"/>
    <sheet name="EVENTOS" sheetId="7" r:id="rId7"/>
    <sheet name="PLE" sheetId="10" r:id="rId8"/>
    <sheet name="CRONO" sheetId="8" r:id="rId9"/>
    <sheet name="CRONOPLE" sheetId="9" r:id="rId10"/>
    <sheet name="QCI" sheetId="11" r:id="rId11"/>
    <sheet name="BM" sheetId="12" r:id="rId12"/>
    <sheet name="RRE" sheetId="13" r:id="rId13"/>
    <sheet name="OFÍCIO" sheetId="14" r:id="rId14"/>
  </sheets>
  <externalReferences>
    <externalReference r:id="rId15"/>
  </externalReferences>
  <definedNames>
    <definedName name="_xlnm._FilterDatabase" localSheetId="3" hidden="1">BDI!$I$11:$I$132</definedName>
    <definedName name="_xlnm._FilterDatabase" localSheetId="11" hidden="1">BM!$C$15:$C$33</definedName>
    <definedName name="_xlnm._FilterDatabase" localSheetId="5" hidden="1">CÁLCULO!$C$15:$C$33</definedName>
    <definedName name="_xlnm._FilterDatabase" localSheetId="8" hidden="1">CRONO!$F$13:$F$48</definedName>
    <definedName name="_xlnm._FilterDatabase" localSheetId="9" hidden="1">CRONOPLE!$A$13:$A$15</definedName>
    <definedName name="_xlnm._FilterDatabase" localSheetId="4" hidden="1">ORÇAMENTO!$L$15:$L$33</definedName>
    <definedName name="_xlnm._FilterDatabase" localSheetId="7" hidden="1">PLE!$A$13:$A$35</definedName>
    <definedName name="_xlnm._FilterDatabase" localSheetId="10" hidden="1">QCI!$C$13:$C$24</definedName>
    <definedName name="_xlnm._FilterDatabase" localSheetId="12" hidden="1">RRE!$D$13:$D$29</definedName>
    <definedName name="ACOMPANHAMENTO" hidden="1">IF(VALUE(MENU!$O$4)=2,"BM","PLE")</definedName>
    <definedName name="_xlnm.Print_Area" localSheetId="3">BDI!$J$1:$S$53</definedName>
    <definedName name="_xlnm.Print_Area" localSheetId="11">BM!$D$1:$O$48</definedName>
    <definedName name="_xlnm.Print_Area" localSheetId="5">CÁLCULO!$E$1:$T$42</definedName>
    <definedName name="_xlnm.Print_Area" localSheetId="8">CRONO!$H$4:$AE$48</definedName>
    <definedName name="_xlnm.Print_Area" localSheetId="9">CRONOPLE!$B$5:$AH$21</definedName>
    <definedName name="_xlnm.Print_Area" localSheetId="6">EVENTOS!$A$1:$G$23</definedName>
    <definedName name="_xlnm.Print_Area" localSheetId="0">MENU!$A$1:$I$25</definedName>
    <definedName name="_xlnm.Print_Area" localSheetId="13">OFÍCIO!$A$1:$G$56</definedName>
    <definedName name="_xlnm.Print_Area" localSheetId="4">ORÇAMENTO!$O$1:$Y$50</definedName>
    <definedName name="_xlnm.Print_Area" localSheetId="7">PLE!$B$3:$BF$36</definedName>
    <definedName name="_xlnm.Print_Area" localSheetId="10">QCI!$D$1:$O$36</definedName>
    <definedName name="_xlnm.Print_Area" localSheetId="12">RRE!$E$1:$P$48</definedName>
    <definedName name="AUTOEVENTO" hidden="1">CÁLCULO!$A$12</definedName>
    <definedName name="_xlnm.Database">TEXT([1]Dados!$G$29,"mm-aaaa")</definedName>
    <definedName name="BDI.Filtro" hidden="1">BDI!$I$11:$I$132</definedName>
    <definedName name="BDI.Opcao" hidden="1">DADOS!$F$18</definedName>
    <definedName name="BDI.TipoObra" hidden="1">BDI!$A$138:$A$146</definedName>
    <definedName name="BM.AFAcumulado" hidden="1">BM!$R1</definedName>
    <definedName name="BM.AFAnterior" hidden="1">BM!$Q1</definedName>
    <definedName name="BM.CaixaColunas" hidden="1">BM!$Q:$Z</definedName>
    <definedName name="BM.Filtro" hidden="1">BM!$C$15:$C$33</definedName>
    <definedName name="BM.firstrow" hidden="1">BM!$15:$15</definedName>
    <definedName name="BM.FormulaMed" hidden="1">BM!$AO$7</definedName>
    <definedName name="BM.lastrow" hidden="1">BM!$33:$33</definedName>
    <definedName name="BM.LinhaPadrão" hidden="1">BM!$14:$14</definedName>
    <definedName name="BM.MaxMed" hidden="1">IF(RegimeExecucao="Global",1,BM!$G1)</definedName>
    <definedName name="BM.MCAIXA.Filter" hidden="1">BM!$C$15:$Z$33</definedName>
    <definedName name="BM.MEDAcumulado" hidden="1">IF(COUNTIF(BM!$AB$13:$AM$13,BM.medicao)&gt;0,SUM(OFFSET(BM!$AB1,0,0,1,MATCH(BM.medicao,BM!$AB$13:$AM$13,0))),0)</definedName>
    <definedName name="BM.MEDAnterior" hidden="1">IF(COUNTIF(BM!$AB$13:$AM$13,BM.medicao-1)&gt;0,SUM(OFFSET(BM!$AB1,0,0,1,MATCH(BM.medicao-1,BM!$AB$13:$AM$13,0))),0)</definedName>
    <definedName name="BM.medicao" hidden="1">OFFSET(BM!$O$7,1,0)</definedName>
    <definedName name="BM.MinMed" hidden="1">IF(RegimeExecucao="Global",-1,-BM!$G1)</definedName>
    <definedName name="BM.TomadorColunas" hidden="1">BM!$AB:$AN</definedName>
    <definedName name="Brasao" hidden="1">OFÍCIO!$B$1</definedName>
    <definedName name="CAIXA.Modo" hidden="1">BM!$A$3</definedName>
    <definedName name="CÁLCULO.AgrupEventos" hidden="1">CÁLCULO!$K1</definedName>
    <definedName name="CÁLCULO.ColunaPadrão" hidden="1">CÁLCULO!$O:$O</definedName>
    <definedName name="CÁLCULO.Filtro" hidden="1">CÁLCULO!$C$15:$C$33</definedName>
    <definedName name="CÁLCULO.firstcol" hidden="1">CÁLCULO!$P:$P</definedName>
    <definedName name="CÁLCULO.firstrow" hidden="1">CÁLCULO!$15:$15</definedName>
    <definedName name="CÁLCULO.Frenterow" hidden="1">CÁLCULO!$12:$12</definedName>
    <definedName name="CÁLCULO.lastcol" hidden="1">CÁLCULO!$BO:$BO</definedName>
    <definedName name="CÁLCULO.lastrow" hidden="1">CÁLCULO!$33:$33</definedName>
    <definedName name="CÁLCULO.LinhaPadrão" hidden="1">CÁLCULO!$14:$14</definedName>
    <definedName name="CÁLCULO.margemrow" hidden="1">CÁLCULO!$41:$41</definedName>
    <definedName name="CÁLCULO.MATRIZ1.ColunaPadrão" hidden="1">CÁLCULO!$BQ:$BQ</definedName>
    <definedName name="CÁLCULO.MATRIZ1.firstcol" hidden="1">CÁLCULO!$BO:$BO</definedName>
    <definedName name="CÁLCULO.MATRIZ1.lastcol" hidden="1">CÁLCULO!$DN:$DN</definedName>
    <definedName name="CÁLCULO.MATRIZ1.lastrow" hidden="1">CÁLCULO!$33:$33</definedName>
    <definedName name="CÁLCULO.MATRIZ2.ColunaPadrão" hidden="1">CÁLCULO!$DP:$DP</definedName>
    <definedName name="CÁLCULO.MATRIZ2.firstcol" hidden="1">CÁLCULO!$DN:$DN</definedName>
    <definedName name="CÁLCULO.MATRIZ2.lastcol" hidden="1">CÁLCULO!$FM:$FM</definedName>
    <definedName name="CÁLCULO.MATRIZ2.lastrow" hidden="1">CÁLCULO!$33:$33</definedName>
    <definedName name="CÁLCULO.MATRIZ3.ColunaPadrão" hidden="1">CÁLCULO!$FO:$FO</definedName>
    <definedName name="CÁLCULO.MATRIZ3.firstcol" hidden="1">CÁLCULO!$FM:$FM</definedName>
    <definedName name="CÁLCULO.MATRIZ3.lastcol" hidden="1">CÁLCULO!$HL:$HL</definedName>
    <definedName name="CÁLCULO.MATRIZ3.lastrow" hidden="1">CÁLCULO!$33:$33</definedName>
    <definedName name="CÁLCULO.NúmeroDeEventos" hidden="1">IF(AUTOEVENTO&lt;&gt;"manual",MAX(CÁLCULO!$M$15:$M$33),MAX(OFFSET(EVENTOS!$C$14:$C$21,1,0)))</definedName>
    <definedName name="CÁLCULO.NúmeroDeFrentes" hidden="1">COLUMN(CÁLCULO!$BO$15)-COLUMN(CÁLCULO!$Q$15)</definedName>
    <definedName name="CÁLCULO.TotalAdmLocal" hidden="1">IF(AUTOEVENTO="manual",SUMIF(CÁLCULO!$M$15:$M$33,1,ORÇAMENTO!$X$15:$X$33),0)</definedName>
    <definedName name="CRONO.ColunaPadrão" hidden="1">CRONO!$D:$D</definedName>
    <definedName name="CRONO.Filtro" hidden="1">CRONO!$F$13:$F$48</definedName>
    <definedName name="CRONO.FirstCol" hidden="1">CRONO!$S:$S</definedName>
    <definedName name="CRONO.firstrow" hidden="1">CRONO!$13:$13</definedName>
    <definedName name="CRONO.Frenterow" hidden="1">CRONO!$12:$12</definedName>
    <definedName name="CRONO.LastCol" hidden="1">CRONO!$AR:$AR</definedName>
    <definedName name="CRONO.lastrow" hidden="1">CRONO!$43:$43</definedName>
    <definedName name="CRONO.LinhaPadrão" hidden="1">CRONO!$1:$3</definedName>
    <definedName name="CRONO.LinhasNecessarias" hidden="1">COUNTIF(QCI!$B$13:$B$23,"Manual")+COUNTIF(QCI!$B$13:$B$23,"SemiAuto")+COUNT(ORÇAMENTO.ListaCrono)</definedName>
    <definedName name="CRONO.margemrow" hidden="1">CRONO!$48:$48</definedName>
    <definedName name="CRONO.MaxParc" hidden="1">CRONO!$G1048576+CRONO!A1</definedName>
    <definedName name="CRONO.NivelExibicao" hidden="1">CRONO!$G$10</definedName>
    <definedName name="CRONO.Parcela1" hidden="1">CRONO!$T$12:$T$13</definedName>
    <definedName name="CRONOPLE.ColunaPadrão" hidden="1">CRONOPLE!$E:$E</definedName>
    <definedName name="CRONOPLE.FirstCol" hidden="1">CRONOPLE!$F:$F</definedName>
    <definedName name="CRONOPLE.firstrow" hidden="1">CRONOPLE!$15:$15</definedName>
    <definedName name="CRONOPLE.Frenterow" hidden="1">CRONOPLE!$11:$11</definedName>
    <definedName name="CRONOPLE.LastCol" hidden="1">CRONOPLE!$BE:$BE</definedName>
    <definedName name="CRONOPLE.lastrow" hidden="1">CRONOPLE!$21:$21</definedName>
    <definedName name="CRONOPLE.LinhaPadrão" hidden="1">CRONOPLE!$1:$1</definedName>
    <definedName name="CRONOPLE.margemrow" hidden="1">CRONOPLE!$22:$22</definedName>
    <definedName name="CRONOPLE.ValorDoEvento" hidden="1">SUMIF(CÁLCULO!$M$15:$M$33,CRONOPLE!$B1,OFFSET(CÁLCULO!$BO$15:$BO$33,0,CRONOPLE!A$12))</definedName>
    <definedName name="DESONERACAO" hidden="1">IF(OR(Import.Desoneracao="DESONERADO",Import.Desoneracao="SIM"),"SIM","NÃO")</definedName>
    <definedName name="EVENTOS.firstrow" hidden="1">EVENTOS!$15:$15</definedName>
    <definedName name="EVENTOS.lastrow" hidden="1">EVENTOS!$21:$21</definedName>
    <definedName name="EVENTOS.LinhaPadrão" hidden="1">EVENTOS!$14:$14</definedName>
    <definedName name="EVENTOS.Lista" hidden="1">EVENTOS!$C$15:OFFSET(EVENTOS!$C$21,-1,0)</definedName>
    <definedName name="EVENTOS.ListaValidacao" hidden="1">EVENTOS!$B$15:OFFSET(EVENTOS!$B$21,-1,0)</definedName>
    <definedName name="Excel_BuiltIn_Database" hidden="1">TEXT(Import.DataBase,"mm-aaaa")</definedName>
    <definedName name="Fonte">ORÇAMENTO!$I1</definedName>
    <definedName name="Import.Apelido" hidden="1">DADOS!$F$16</definedName>
    <definedName name="Import.BDI.Det1" hidden="1">BDI!$S$21:$S$26</definedName>
    <definedName name="Import.BDI.Det2" hidden="1">BDI!$S$61:$S$66</definedName>
    <definedName name="Import.BDI.Det3" hidden="1">BDI!$S$101:$S$106</definedName>
    <definedName name="Import.BDI.ISS" hidden="1">BDI!$R$10:$S$11</definedName>
    <definedName name="Import.BDI.Obs1" hidden="1">BDI!$J$43</definedName>
    <definedName name="Import.BDI.Obs2" hidden="1">BDI!$J$83</definedName>
    <definedName name="Import.BDI.Obs3" hidden="1">BDI!$J$123</definedName>
    <definedName name="Import.BDI.Tipo1" hidden="1">BDI!$J$17</definedName>
    <definedName name="Import.BDI.Tipo2" hidden="1">BDI!$J$57</definedName>
    <definedName name="Import.BDI.Tipo3" hidden="1">BDI!$J$97</definedName>
    <definedName name="Import.BM.Datas" hidden="1">BM!$AB$12:$AM$12</definedName>
    <definedName name="Import.BM.Obs" hidden="1">BM!$D$36</definedName>
    <definedName name="Import.BMAFAcumulado" hidden="1">OFFSET(BM!$R$15,1,0):OFFSET(BM!$R$33,-1,0)</definedName>
    <definedName name="Import.BMArred" hidden="1">BM!$A$9</definedName>
    <definedName name="Import.CNPJ" hidden="1">DADOS!$F$38</definedName>
    <definedName name="Import.Código" hidden="1">OFFSET(ORÇAMENTO!$Q$15,1,0):OFFSET(ORÇAMENTO!$Q$33,-1,0)</definedName>
    <definedName name="Import.Contrapartida" hidden="1">DADOS!$F$10</definedName>
    <definedName name="Import.CPMaxPerc" hidden="1">DADOS!$F$13</definedName>
    <definedName name="Import.CPMinAbsoluta" hidden="1">DADOS!$F$12</definedName>
    <definedName name="Import.CPMinPerc" hidden="1">DADOS!$F$11</definedName>
    <definedName name="Import.CR" hidden="1">DADOS!$F$7</definedName>
    <definedName name="Import.CRONOPLE" hidden="1">OFFSET(CRONOPLE!$F$15,1,1):OFFSET(CRONOPLE!$BE$21,-1,-1)</definedName>
    <definedName name="Import.CTEF" hidden="1">DADOS!$F$36</definedName>
    <definedName name="Import.CustoUnitário" hidden="1">OFFSET(ORÇAMENTO!$U$15,1,0):OFFSET(ORÇAMENTO!$U$33,-1,0)</definedName>
    <definedName name="Import.DataBase" hidden="1">OFFSET(DADOS!$G$19,0,-1)</definedName>
    <definedName name="Import.DataBaseLicit" hidden="1">OFFSET(DADOS!$G$40,0,-1)</definedName>
    <definedName name="Import.DataEmissaoLicit" hidden="1">DADOS!$F$35</definedName>
    <definedName name="Import.DataInicioObra" hidden="1">DADOS!$F$46</definedName>
    <definedName name="Import.DescLote" hidden="1">DADOS!$F$17</definedName>
    <definedName name="Import.Descrição" hidden="1">OFFSET(ORÇAMENTO!$R$15,1,0):OFFSET(ORÇAMENTO!$R$33,-1,0)</definedName>
    <definedName name="Import.Desoneracao" hidden="1">OFFSET(DADOS!$G$18,0,-1)</definedName>
    <definedName name="Import.empresa" hidden="1">DADOS!$F$37</definedName>
    <definedName name="Import.Eventos.Nível" hidden="1">EVENTOS!$C$6</definedName>
    <definedName name="Import.Eventos.Nomes" hidden="1">OFFSET(EVENTOS!$D$15,1,0):OFFSET(EVENTOS!$D$21,-1,0)</definedName>
    <definedName name="Import.Fonte" hidden="1">OFFSET(ORÇAMENTO!$P$15,1,0):OFFSET(ORÇAMENTO!$P$33,-1,0)</definedName>
    <definedName name="Import.FrenteDeObra" hidden="1">CÁLCULO!$Q$12:OFFSET(CÁLCULO!$BO$12,0,-1)</definedName>
    <definedName name="Import.Município" hidden="1">DADOS!$F$6</definedName>
    <definedName name="Import.Nível" hidden="1">OFFSET(ORÇAMENTO!$M$15,1,0):OFFSET(ORÇAMENTO!$M$33,-1,0)</definedName>
    <definedName name="Import.Ofício.Dest" hidden="1">OFÍCIO!$B$11</definedName>
    <definedName name="Import.Ofício.GIGOV" hidden="1">OFÍCIO!$C$11</definedName>
    <definedName name="Import.Ofício.Num" hidden="1">OFÍCIO!$C$6</definedName>
    <definedName name="Import.OpcaoBDI" hidden="1">OFFSET(ORÇAMENTO!$V$15,1,0):OFFSET(ORÇAMENTO!$V$33,-1,0)</definedName>
    <definedName name="Import.ORÇAMENTO.DivRecurso" hidden="1">OFFSET(ORÇAMENTO!$Y$15,1,0):OFFSET(ORÇAMENTO!$Y$33,-1,0)</definedName>
    <definedName name="Import.ORÇAMENTO.Obs" hidden="1">ORÇAMENTO!$O$39</definedName>
    <definedName name="Import.PLE" hidden="1">OFFSET(PLE!$G$15,1,1):OFFSET(PLE!$BF$21,-1,-1)</definedName>
    <definedName name="Import.PLE.Datas" hidden="1">PLE!$I$24:$AF$24</definedName>
    <definedName name="Import.PLQ" hidden="1">OFFSET(CÁLCULO!$P$15,1,1):OFFSET(CÁLCULO!$BO$33,-1,-1)</definedName>
    <definedName name="Import.PLQ.MemCalc" hidden="1">OFFSET(CÁLCULO!$I$15,1,0):OFFSET(CÁLCULO!$I$33,-1,0)</definedName>
    <definedName name="Import.POArred" hidden="1">ORÇAMENTO!$AF$7:$AF$11</definedName>
    <definedName name="IMport.Prefeito" hidden="1">DADOS!$F$28:$F$29</definedName>
    <definedName name="Import.Proponente" hidden="1">DADOS!$F$5</definedName>
    <definedName name="Import.QCI.Divisao" hidden="1">OFFSET(QCI!$V$13,1,0):OFFSET(QCI!$V$23,-1,0)</definedName>
    <definedName name="Import.QCI.ItemInv" hidden="1">OFFSET(QCI!$E$13,1,0):OFFSET(QCI!$E$23,-1,0)</definedName>
    <definedName name="Import.QCI.Obs" hidden="1">QCI!$D$27</definedName>
    <definedName name="Import.QCI.Qtde" hidden="1">OFFSET(QCI!$I$13,1,0):OFFSET(QCI!$I$23,-1,0)</definedName>
    <definedName name="Import.QCI.Situacao" hidden="1">OFFSET(QCI!$H$13,1,0):OFFSET(QCI!$H$23,-1,0)</definedName>
    <definedName name="Import.QCI.SubItemInv" hidden="1">OFFSET(QCI!$F$13,1,0):OFFSET(QCI!$F$23,-1,0)</definedName>
    <definedName name="Import.QCICP" hidden="1">OFFSET(QCI!$W$13,1,0):OFFSET(QCI!$W$23,-1,0)</definedName>
    <definedName name="Import.QCIDesc" hidden="1">OFFSET(QCI!$R$13,1,0):OFFSET(QCI!$R$23,-1,0)</definedName>
    <definedName name="Import.QCIInv" hidden="1">OFFSET(QCI!$U$13,1,0):OFFSET(QCI!$U$23,-1,0)</definedName>
    <definedName name="Import.QCILote" hidden="1">OFFSET(QCI!$T$13,1,0):OFFSET(QCI!$T$23,-1,0)</definedName>
    <definedName name="Import.QCIOutros" hidden="1">OFFSET(QCI!$X$13,1,0):OFFSET(QCI!$X$23,-1,0)</definedName>
    <definedName name="Import.Quantidade" hidden="1">OFFSET(ORÇAMENTO!$AJ$15,1,0):OFFSET(ORÇAMENTO!$AJ$33,-1,0)</definedName>
    <definedName name="import.recurso" hidden="1">DADOS!$F$4</definedName>
    <definedName name="Import.RegimeExecução" hidden="1">OFFSET(DADOS!$G$39,0,-1)</definedName>
    <definedName name="Import.Repasse" hidden="1">DADOS!$F$9</definedName>
    <definedName name="Import.RespFiscalização" hidden="1">DADOS!$F$50:$F$53</definedName>
    <definedName name="Import.RespOrçamento" hidden="1">DADOS!$F$22:$F$24</definedName>
    <definedName name="Import.RRE.Financeiro" hidden="1">RRE!$M$46:$O$48</definedName>
    <definedName name="Import.RRE.Obs" hidden="1">RRE!$E$30</definedName>
    <definedName name="Import.RRE.Social" hidden="1">RRE!$F$46:$G$48</definedName>
    <definedName name="Import.SICONV" hidden="1">DADOS!$F$8</definedName>
    <definedName name="Import.Unidade" hidden="1">OFFSET(ORÇAMENTO!$S$15,1,0):OFFSET(ORÇAMENTO!$S$33,-1,0)</definedName>
    <definedName name="Import.UnitarioLicitado" hidden="1">OFFSET(ORÇAMENTO!$AL$15,1,0):OFFSET(ORÇAMENTO!$AL$33,-1,0)</definedName>
    <definedName name="MENU.Acompanhamento" hidden="1">MENU!$O$4</definedName>
    <definedName name="Menu.b.bdi" hidden="1">MENU!$C$10</definedName>
    <definedName name="Menu.b.bm" hidden="1">MENU!$G$22</definedName>
    <definedName name="Menu.b.branco" hidden="1">MENU!$G$12</definedName>
    <definedName name="Menu.b.cronolicit" hidden="1">MENU!$G$18</definedName>
    <definedName name="Menu.b.cronoprop" hidden="1">MENU!$E$12</definedName>
    <definedName name="Menu.b.dados" hidden="1">MENU!$E$6</definedName>
    <definedName name="Menu.b.novo" hidden="1">MENU!$G$6</definedName>
    <definedName name="Menu.b.oficio" hidden="1">MENU!$E$24</definedName>
    <definedName name="Menu.b.orçlicit" hidden="1">MENU!$C$18</definedName>
    <definedName name="Menu.b.orçprop" hidden="1">MENU!$E$10</definedName>
    <definedName name="Menu.b.PLE" hidden="1">MENU!$C$22</definedName>
    <definedName name="Menu.b.PLQ" hidden="1">MENU!$G$10</definedName>
    <definedName name="Menu.b.QCIlicit" hidden="1">MENU!$E$18</definedName>
    <definedName name="Menu.b.qciprop" hidden="1">MENU!$C$12</definedName>
    <definedName name="Menu.b.RRE" hidden="1">MENU!$E$22</definedName>
    <definedName name="MENU.CRONO" hidden="1">OFFSET(CRONO!$T$11,1,0)</definedName>
    <definedName name="MENU.CRONOPLE" hidden="1">CRONOPLE!$B$5</definedName>
    <definedName name="MENU.TipoOrçamento" hidden="1">MENU!$O$3</definedName>
    <definedName name="Menu.tit.acompanhamento" hidden="1">MENU!$B$20</definedName>
    <definedName name="Menu.tit.licitacao" hidden="1">MENU!$B$16</definedName>
    <definedName name="Menu.tit.proposta" hidden="1">MENU!$B$8</definedName>
    <definedName name="Objeto" hidden="1">MENU!$J$1</definedName>
    <definedName name="ORÇAMENTO.BancoRef" hidden="1">ORÇAMENTO!$F$8</definedName>
    <definedName name="ORÇAMENTO.CodBarra" hidden="1">IF(ORÇAMENTO.Fonte="Sinapi",SUBSTITUTE(SUBSTITUTE(ORÇAMENTO.Codigo,"/00","/"),"/0","/"),ORÇAMENTO.Codigo)</definedName>
    <definedName name="ORÇAMENTO.Codigo" hidden="1">ORÇAMENTO!$Q1</definedName>
    <definedName name="ORÇAMENTO.ColunaLicit" hidden="1">ORÇAMENTO!$AL$15</definedName>
    <definedName name="ORÇAMENTO.CopyFormat1" hidden="1">ORÇAMENTO!$P$14:$S$14</definedName>
    <definedName name="ORÇAMENTO.CopyFormat2" hidden="1">ORÇAMENTO!$U$14:$V$14</definedName>
    <definedName name="ORÇAMENTO.CustoUnitario" hidden="1">ROUND(ORÇAMENTO!$U1,15-13*ORÇAMENTO!$AF$8)</definedName>
    <definedName name="ORÇAMENTO.Descricao" hidden="1">ORÇAMENTO!$R1</definedName>
    <definedName name="ORÇAMENTO.Filtro" hidden="1">ORÇAMENTO!$L$15:$L$33</definedName>
    <definedName name="ORÇAMENTO.firstrow" hidden="1">ORÇAMENTO!$15:$15</definedName>
    <definedName name="ORÇAMENTO.Fonte" hidden="1">ORÇAMENTO!$P1</definedName>
    <definedName name="ORÇAMENTO.lastrow" hidden="1">ORÇAMENTO!$33:$33</definedName>
    <definedName name="ORÇAMENTO.LinhaPadrão" hidden="1">ORÇAMENTO!$14:$14</definedName>
    <definedName name="ORÇAMENTO.ListaCrono" hidden="1">OFFSET(ORÇAMENTO!$AD$15,1,0):OFFSET(ORÇAMENTO!$AD$33,-1,0)</definedName>
    <definedName name="ORÇAMENTO.MáximoListaCrono" hidden="1">MAX(ORÇAMENTO.ListaCrono)</definedName>
    <definedName name="ORÇAMENTO.Nivel" hidden="1">ORÇAMENTO!$M1</definedName>
    <definedName name="ORÇAMENTO.OpcaoBDI" hidden="1">ORÇAMENTO!$V1</definedName>
    <definedName name="ORÇAMENTO.PasteFormat1" hidden="1">OFFSET(ORÇAMENTO!$P$15,1,0):OFFSET(ORÇAMENTO!$S$33,-1,0)</definedName>
    <definedName name="ORÇAMENTO.PasteFormat2" hidden="1">OFFSET(ORÇAMENTO!$U$15,1,0):OFFSET(ORÇAMENTO!$V$33,-1,0)</definedName>
    <definedName name="ORÇAMENTO.PrecoUnitarioLicitado" hidden="1">ORÇAMENTO!$AL1</definedName>
    <definedName name="ORÇAMENTO.QuantBM" hidden="1">ORÇAMENTO!$AJ1</definedName>
    <definedName name="ORÇAMENTO.RangeQuant" hidden="1">OFFSET(ORÇAMENTO!$T$15,1,0):OFFSET(ORÇAMENTO!$T$33,-1,0)</definedName>
    <definedName name="ORÇAMENTO.SumCPMANUAL" hidden="1">SUMIF(ORÇAMENTO!$Z$15:$Z$33,"CP",ORÇAMENTO!$AA$15:$AA$33)</definedName>
    <definedName name="ORÇAMENTO.SumINVMANUAL" hidden="1">SUMIF(ORÇAMENTO!$Z$15:$Z$33,"RP",ORÇAMENTO!$X$15:$X$33)+SUMIF(ORÇAMENTO!$Z$15:$Z$33,"CP",ORÇAMENTO!$X$15:$X$33)+SUMIF(ORÇAMENTO!$Z$15:$Z$33,"OU",ORÇAMENTO!$X$15:$X$33)</definedName>
    <definedName name="ORÇAMENTO.SumOUTROSMANUAL" hidden="1">SUMIF(ORÇAMENTO!$Z$15:$Z$33,"OU",ORÇAMENTO!$AB$15:$AB$33)</definedName>
    <definedName name="ORÇAMENTO.SumREPASSEMANUAL" hidden="1">ORÇAMENTO.SumINVMANUAL-ORÇAMENTO.SumCPMANUAL-ORÇAMENTO.SumOUTROSMANUAL</definedName>
    <definedName name="ORÇAMENTO.Unidade" hidden="1">ORÇAMENTO!$S1</definedName>
    <definedName name="PLE.ColunaPadrão" hidden="1">PLE!$F:$F</definedName>
    <definedName name="PLE.Filtro" hidden="1">PLE!$A$13:$A$35</definedName>
    <definedName name="PLE.FirstCol" hidden="1">PLE!$G:$G</definedName>
    <definedName name="PLE.firstrow" hidden="1">PLE!$15:$15</definedName>
    <definedName name="PLE.FrenteRow" hidden="1">PLE!$11:$11</definedName>
    <definedName name="PLE.LastCol" hidden="1">PLE!$BF:$BF</definedName>
    <definedName name="PLE.lastrow" hidden="1">PLE!$21:$21</definedName>
    <definedName name="PLE.LinhaPadrão" hidden="1">PLE!$1:$1</definedName>
    <definedName name="PLE.margemrow" hidden="1">PLE!$36:$36</definedName>
    <definedName name="PLE.Medicao" hidden="1">PLE!$J$9</definedName>
    <definedName name="PLE.MEDIÇÕES.firstrow" hidden="1">PLE!$22:$22</definedName>
    <definedName name="PLE.MEDIÇÕES.lastrow" hidden="1">PLE!$30:$30</definedName>
    <definedName name="PLE.MEDIÇÕES.LinhaPadrão" hidden="1">PLE!$22:$29</definedName>
    <definedName name="PLE.ValorDoEvento" hidden="1">SUMIF(CÁLCULO!$M$15:$M$33,PLE!$B1,OFFSET(CÁLCULO!$BO$15:$BO$33,0,PLE!A$12))</definedName>
    <definedName name="PO.ValoresBDI" hidden="1">OFFSET(ORÇAMENTO!$AH$15,1,0):OFFSET(ORÇAMENTO!$AH$33,-1,0)</definedName>
    <definedName name="QCI.CPManual" hidden="1">ROUND(QCI!$W1,2)</definedName>
    <definedName name="QCI.DescManual" hidden="1">QCI!$R1</definedName>
    <definedName name="QCI.Divisao" hidden="1">QCI!$V1</definedName>
    <definedName name="QCI.ExisteManual" hidden="1">(COUNTIF(QCI!$B$13:$B$23,"Manual")+COUNTIF(QCI!$B$13:$B$23,"SemiAuto"))&gt;0</definedName>
    <definedName name="QCI.Filtro" hidden="1">QCI!$C$13:$C$24</definedName>
    <definedName name="QCI.firstrow" hidden="1">QCI!$13:$13</definedName>
    <definedName name="QCI.InvManual" hidden="1">ROUND(QCI!$U1,2)</definedName>
    <definedName name="QCI.ItemInvestimento" hidden="1">OFFSET(DADOS!$J$2,1,0,COUNTA(DADOS!$J:$J)-1,1)</definedName>
    <definedName name="QCI.lastrow" hidden="1">QCI!$23:$23</definedName>
    <definedName name="QCI.LinhaPadrão" hidden="1">QCI!$12:$12</definedName>
    <definedName name="QCI.LoteManual" hidden="1">QCI!$T1</definedName>
    <definedName name="QCI.MaxCPManual" hidden="1">QCI!$O1-QCI!$X1</definedName>
    <definedName name="QCI.MaxOUManual" hidden="1">QCI!$O1-QCI!$W1</definedName>
    <definedName name="QCI.OutrosManual" hidden="1">ROUND(QCI!$X1,2)</definedName>
    <definedName name="QCI.RepasseManual" hidden="1">QCI!$U1</definedName>
    <definedName name="QCI.SubItemInvestimento" hidden="1">OFFSET(DADOS!$A$2,1,MATCH(QCI!$E1,DADOS!$2:$2,0)-1,INDEX(DADOS!$2:$2,MATCH(QCI!$E1,DADOS!$2:$2,0)+1))</definedName>
    <definedName name="QCI.SumCPMANUAL" hidden="1">SUMIF(QCI!$B$13:$B$23,"Manual",QCI!$AA$13:$AA$23)</definedName>
    <definedName name="QCI.SumINVMANUAL" hidden="1">SUMIF(QCI!$B$13:$B$23,"Manual",QCI!$O$13:$O$23)</definedName>
    <definedName name="QCI.SumOUTROSMANUAL" hidden="1">SUMIF(QCI!$B$13:$B$23,"Manual",QCI!$AB$13:$AB$23)</definedName>
    <definedName name="QCI.SumREPASSEMANUAL" hidden="1">QCI.SumINVMANUAL-QCI.CPManual-QCI.OutrosManual</definedName>
    <definedName name="QCI.TotalCP" hidden="1">QCI!$M$23</definedName>
    <definedName name="REFERENCIA.Descricao" hidden="1">IF(ISNUMBER(ORÇAMENTO!$AF1),OFFSET(INDIRECT(ORÇAMENTO.BancoRef),ORÇAMENTO!$AF1-1,3,1),ORÇAMENTO!$AF1)</definedName>
    <definedName name="REFERENCIA.Desonerado" hidden="1">IF(ISNUMBER(ORÇAMENTO!$AF1),VALUE(OFFSET(INDIRECT(ORÇAMENTO.BancoRef),ORÇAMENTO!$AF1-1,5,1)),0)</definedName>
    <definedName name="REFERENCIA.NaoDesonerado" hidden="1">IF(ISNUMBER(ORÇAMENTO!$AF1),VALUE(OFFSET(INDIRECT(ORÇAMENTO.BancoRef),ORÇAMENTO!$AF1-1,6,1)),0)</definedName>
    <definedName name="REFERENCIA.Unidade" hidden="1">IF(ISNUMBER(ORÇAMENTO!$AF1),OFFSET(INDIRECT(ORÇAMENTO.BancoRef),ORÇAMENTO!$AF1-1,4,1),"-")</definedName>
    <definedName name="RegimeExecucao" hidden="1">IF(OR(Import.RegimeExecução="",Import.RegimeExecução="Empreitada por Preço Global",Import.RegimeExecução="Empreitada Integral"),"Global","Unitário")</definedName>
    <definedName name="RRE.CPDiferente" hidden="1">RRE!$Y$25:$Z$26</definedName>
    <definedName name="RRE.Filtro" hidden="1">RRE!$D$13:$D$27</definedName>
    <definedName name="RRE.firstrow" hidden="1">RRE!$13:$13</definedName>
    <definedName name="RRE.lastrow" hidden="1">RRE!$23:$23</definedName>
    <definedName name="RRE.LinhaPadrão" hidden="1">RRE!$12:$12</definedName>
    <definedName name="RRE.MaxCPAcum" hidden="1">RRE!$AD$25</definedName>
    <definedName name="RRE.MaxCPAnt" hidden="1">RRE!$AC$25</definedName>
    <definedName name="RRE.MaxOUAcum" hidden="1">RRE!$AD$26</definedName>
    <definedName name="RRE.MaxOUAnt" hidden="1">RRE!$AC$26</definedName>
    <definedName name="RRE.Numero" hidden="1">OFFSET(RRE!$O$7,0,1)</definedName>
    <definedName name="RRE.VIMeta" hidden="1">RRE!$L1</definedName>
    <definedName name="SENHAGT" hidden="1">"PM3CAIXA"</definedName>
    <definedName name="SomaAgrup" hidden="1">SUMIF(OFFSET(ORÇAMENTO!$C1,1,0,ORÇAMENTO!$D1),"S",OFFSET(ORÇAMENTO!A1,1,0,ORÇAMENTO!$D1))</definedName>
    <definedName name="SomaAgrupBM" hidden="1">SUMIF(OFFSET(BM!$A1,1,0,BM!$B1),"S",OFFSET(BM!A1,1,0,BM!$B1))</definedName>
    <definedName name="TIPOORCAMENTO" hidden="1">IF(VALUE(MENU!$O$3)=2,"Licitado","Proposto")</definedName>
    <definedName name="_xlnm.Print_Titles" localSheetId="3">BDI!$1:$13</definedName>
    <definedName name="_xlnm.Print_Titles" localSheetId="11">BM!$1:$15</definedName>
    <definedName name="_xlnm.Print_Titles" localSheetId="5">CÁLCULO!$E:$H,CÁLCULO!$1:$15</definedName>
    <definedName name="_xlnm.Print_Titles" localSheetId="8">CRONO!$H:$S,CRONO!$1:$13</definedName>
    <definedName name="_xlnm.Print_Titles" localSheetId="4">ORÇAMENTO!$1:$15</definedName>
    <definedName name="_xlnm.Print_Titles" localSheetId="7">PLE!$B:$E,PLE!$1:$13</definedName>
    <definedName name="_xlnm.Print_Titles" localSheetId="10">QCI!$1:$13</definedName>
    <definedName name="_xlnm.Print_Titles" localSheetId="12">RRE!$1:$13</definedName>
    <definedName name="Versao" hidden="1">MENU!$J$2</definedName>
    <definedName name="VTOTAL1" hidden="1">ROUND(ORÇAMENTO!$T1*ORÇAMENTO!$W1,15-13*ORÇAMENTO!$AF$11)</definedName>
    <definedName name="VTOTALBM" hidden="1">IF(BM!$I1=0,0,CHOOSE(MATCH(RegimeExecucao,{"Global","Unitário"},0),ROUND(ROUND(BM!XFB1,15-13*BM!$A$9)/100*BM!$I1,15-13*ORÇAMENTO!$AF$11),ROUND(ROUND(BM!XFB1,15-13*BM!$A$9)*ROUND(BM!$H1,15-13*ORÇAMENTO!$AF$10),15-13*ORÇAMENTO!$AF$11)))</definedName>
    <definedName name="VTOTALMED" hidden="1">BM!$P$14</definedName>
  </definedNames>
  <calcPr calcId="162913" fullCalcOnLoad="1"/>
</workbook>
</file>

<file path=xl/calcChain.xml><?xml version="1.0" encoding="utf-8"?>
<calcChain xmlns="http://schemas.openxmlformats.org/spreadsheetml/2006/main">
  <c r="U32" i="5" l="1"/>
  <c r="U31" i="5"/>
  <c r="U30" i="5"/>
  <c r="U29" i="5"/>
  <c r="U27" i="5"/>
  <c r="U26" i="5"/>
  <c r="U24" i="5"/>
  <c r="U23" i="5"/>
  <c r="U19" i="5"/>
  <c r="U18" i="5"/>
  <c r="Q21" i="6"/>
  <c r="R21" i="6" s="1"/>
  <c r="S24" i="6"/>
  <c r="Q24" i="6"/>
  <c r="S19" i="6"/>
  <c r="Q19" i="6"/>
  <c r="Q26" i="6"/>
  <c r="Q27" i="6"/>
  <c r="H32" i="12"/>
  <c r="G32" i="12"/>
  <c r="F32" i="12"/>
  <c r="H31" i="12"/>
  <c r="G31" i="12"/>
  <c r="F31" i="12"/>
  <c r="H30" i="12"/>
  <c r="G30" i="12"/>
  <c r="F30" i="12"/>
  <c r="H29" i="12"/>
  <c r="G29" i="12"/>
  <c r="F29" i="12"/>
  <c r="H28" i="12"/>
  <c r="G28" i="12"/>
  <c r="F28" i="12"/>
  <c r="A32" i="5"/>
  <c r="A31" i="5"/>
  <c r="A30" i="5"/>
  <c r="A29" i="5"/>
  <c r="A28" i="5"/>
  <c r="H21" i="12"/>
  <c r="G21" i="12"/>
  <c r="F21" i="12"/>
  <c r="H20" i="12"/>
  <c r="G20" i="12"/>
  <c r="F20" i="12"/>
  <c r="A21" i="5"/>
  <c r="A20" i="5"/>
  <c r="R23" i="6"/>
  <c r="A23" i="5"/>
  <c r="Q18" i="6"/>
  <c r="A24" i="5"/>
  <c r="A22" i="5"/>
  <c r="A27" i="5"/>
  <c r="A19" i="5"/>
  <c r="A25" i="5"/>
  <c r="A26" i="5"/>
  <c r="HK15" i="6"/>
  <c r="HJ15" i="6"/>
  <c r="HI15" i="6"/>
  <c r="HH15" i="6"/>
  <c r="HG15" i="6"/>
  <c r="HF15" i="6"/>
  <c r="HE15" i="6"/>
  <c r="HD15" i="6"/>
  <c r="FL15" i="6"/>
  <c r="FK15" i="6"/>
  <c r="FJ15" i="6"/>
  <c r="FI15" i="6"/>
  <c r="FH15" i="6"/>
  <c r="FG15" i="6"/>
  <c r="FF15" i="6"/>
  <c r="FE15" i="6"/>
  <c r="BH39" i="6" a="1"/>
  <c r="BI5" i="6"/>
  <c r="BG5" i="6"/>
  <c r="HC15" i="6"/>
  <c r="HB15" i="6"/>
  <c r="HA15" i="6"/>
  <c r="GZ15" i="6"/>
  <c r="GY15" i="6"/>
  <c r="GX15" i="6"/>
  <c r="GW15" i="6"/>
  <c r="GV15" i="6"/>
  <c r="FD15" i="6"/>
  <c r="FC15" i="6"/>
  <c r="FB15" i="6"/>
  <c r="FA15" i="6"/>
  <c r="EZ15" i="6"/>
  <c r="EY15" i="6"/>
  <c r="EX15" i="6"/>
  <c r="EW15" i="6"/>
  <c r="AZ39" i="6" a="1"/>
  <c r="BA5" i="6"/>
  <c r="AY5" i="6"/>
  <c r="GU15" i="6"/>
  <c r="GT15" i="6"/>
  <c r="GS15" i="6"/>
  <c r="GR15" i="6"/>
  <c r="GQ15" i="6"/>
  <c r="GP15" i="6"/>
  <c r="GO15" i="6"/>
  <c r="GN15" i="6"/>
  <c r="EV15" i="6"/>
  <c r="EU15" i="6"/>
  <c r="ET15" i="6"/>
  <c r="ES15" i="6"/>
  <c r="ER15" i="6"/>
  <c r="EQ15" i="6"/>
  <c r="EP15" i="6"/>
  <c r="EO15" i="6"/>
  <c r="AR39" i="6" a="1"/>
  <c r="AS5" i="6"/>
  <c r="AQ5" i="6"/>
  <c r="AL46" i="8" a="1"/>
  <c r="AQ8" i="8"/>
  <c r="AK8" i="8"/>
  <c r="AF8" i="8"/>
  <c r="AQ7" i="8"/>
  <c r="AK7" i="8"/>
  <c r="AV33" i="10" a="1"/>
  <c r="AH25" i="10"/>
  <c r="AJ25" i="10"/>
  <c r="AL25" i="10"/>
  <c r="AN25" i="10"/>
  <c r="AP25" i="10"/>
  <c r="AR25" i="10"/>
  <c r="AT25" i="10"/>
  <c r="AV25" i="10"/>
  <c r="AX25" i="10"/>
  <c r="AZ25" i="10"/>
  <c r="BB25" i="10"/>
  <c r="BD25" i="10"/>
  <c r="BD7" i="10"/>
  <c r="AU7" i="10"/>
  <c r="AN7" i="10"/>
  <c r="AG7" i="10"/>
  <c r="BD6" i="10"/>
  <c r="AU6" i="10"/>
  <c r="AG4" i="10"/>
  <c r="GM15" i="6"/>
  <c r="GL15" i="6"/>
  <c r="GK15" i="6"/>
  <c r="GJ15" i="6"/>
  <c r="GI15" i="6"/>
  <c r="GH15" i="6"/>
  <c r="GG15" i="6"/>
  <c r="GF15" i="6"/>
  <c r="EN15" i="6"/>
  <c r="EM15" i="6"/>
  <c r="EL15" i="6"/>
  <c r="EK15" i="6"/>
  <c r="EJ15" i="6"/>
  <c r="EI15" i="6"/>
  <c r="EH15" i="6"/>
  <c r="EG15" i="6"/>
  <c r="AJ39" i="6" a="1"/>
  <c r="AJ40" i="6" s="1"/>
  <c r="AK5" i="6"/>
  <c r="AI5" i="6"/>
  <c r="GE15" i="6"/>
  <c r="GD15" i="6"/>
  <c r="GC15" i="6"/>
  <c r="GB15" i="6"/>
  <c r="GA15" i="6"/>
  <c r="FZ15" i="6"/>
  <c r="FY15" i="6"/>
  <c r="FX15" i="6"/>
  <c r="EF15" i="6"/>
  <c r="EE15" i="6"/>
  <c r="ED15" i="6"/>
  <c r="EC15" i="6"/>
  <c r="EB15" i="6"/>
  <c r="EA15" i="6"/>
  <c r="DZ15" i="6"/>
  <c r="DY15" i="6"/>
  <c r="AB39" i="6" a="1"/>
  <c r="AB39" i="6" s="1"/>
  <c r="AC5" i="6"/>
  <c r="AA5" i="6"/>
  <c r="A16" i="5"/>
  <c r="C47" i="3"/>
  <c r="C43" i="3"/>
  <c r="H22" i="13"/>
  <c r="G22" i="13"/>
  <c r="H21" i="13"/>
  <c r="G21" i="13"/>
  <c r="H20" i="13"/>
  <c r="G20" i="13"/>
  <c r="H19" i="13"/>
  <c r="G19" i="13"/>
  <c r="H18" i="13"/>
  <c r="G18" i="13"/>
  <c r="H17" i="13"/>
  <c r="G17" i="13"/>
  <c r="H16" i="13"/>
  <c r="G16" i="13"/>
  <c r="H15" i="13"/>
  <c r="G15" i="13"/>
  <c r="H14" i="13"/>
  <c r="G14" i="13"/>
  <c r="D22" i="11"/>
  <c r="D21" i="11"/>
  <c r="D20" i="11"/>
  <c r="A20" i="11"/>
  <c r="D19" i="11"/>
  <c r="E19" i="13"/>
  <c r="D18" i="11"/>
  <c r="A18" i="11"/>
  <c r="D17" i="11"/>
  <c r="E17" i="13"/>
  <c r="D16" i="11"/>
  <c r="E16" i="13"/>
  <c r="D15" i="11"/>
  <c r="D14" i="11"/>
  <c r="A14" i="8"/>
  <c r="A18" i="5"/>
  <c r="A17" i="5"/>
  <c r="P7" i="13"/>
  <c r="E28" i="14"/>
  <c r="C41" i="3"/>
  <c r="C39" i="3"/>
  <c r="S108" i="4"/>
  <c r="S68" i="4"/>
  <c r="S28" i="4"/>
  <c r="E2" i="15"/>
  <c r="C34" i="3"/>
  <c r="C32" i="3"/>
  <c r="Q13" i="6"/>
  <c r="R13" i="6" s="1"/>
  <c r="S13" i="6" s="1"/>
  <c r="T13" i="6" s="1"/>
  <c r="U13" i="6" s="1"/>
  <c r="A12" i="6"/>
  <c r="FN13" i="6"/>
  <c r="FO13" i="6"/>
  <c r="FP13" i="6" s="1"/>
  <c r="BP13" i="6"/>
  <c r="DO13" i="6"/>
  <c r="DP13" i="6"/>
  <c r="H12" i="10"/>
  <c r="S27" i="4"/>
  <c r="S29" i="4" s="1"/>
  <c r="FW15" i="6"/>
  <c r="FV15" i="6"/>
  <c r="FU15" i="6"/>
  <c r="FT15" i="6"/>
  <c r="FS15" i="6"/>
  <c r="FR15" i="6"/>
  <c r="FQ15" i="6"/>
  <c r="FP15" i="6"/>
  <c r="FO15" i="6"/>
  <c r="FN15" i="6"/>
  <c r="I25" i="10"/>
  <c r="N9" i="10"/>
  <c r="G12" i="9"/>
  <c r="G11" i="9"/>
  <c r="C20" i="3"/>
  <c r="C22" i="3"/>
  <c r="C24" i="3"/>
  <c r="C26" i="3"/>
  <c r="C28" i="3"/>
  <c r="F8" i="5"/>
  <c r="C19" i="3"/>
  <c r="C15" i="3"/>
  <c r="C14" i="3"/>
  <c r="C12" i="3"/>
  <c r="I35" i="11"/>
  <c r="I34" i="11"/>
  <c r="Z46" i="8" a="1"/>
  <c r="T39" i="6" a="1"/>
  <c r="T41" i="6" s="1"/>
  <c r="I39" i="6" a="1"/>
  <c r="I39" i="6"/>
  <c r="AB13" i="12"/>
  <c r="C2" i="4"/>
  <c r="Z7" i="11"/>
  <c r="U12" i="8"/>
  <c r="V12" i="8"/>
  <c r="W12" i="8"/>
  <c r="X12" i="8" s="1"/>
  <c r="Y12" i="8" s="1"/>
  <c r="Z12" i="8" s="1"/>
  <c r="AA12" i="8" s="1"/>
  <c r="AB12" i="8" s="1"/>
  <c r="AC12" i="8" s="1"/>
  <c r="AD12" i="8" s="1"/>
  <c r="AE12" i="8" s="1"/>
  <c r="AF12" i="8" s="1"/>
  <c r="AG12" i="8" s="1"/>
  <c r="AH12" i="8" s="1"/>
  <c r="AI12" i="8" s="1"/>
  <c r="AJ12" i="8" s="1"/>
  <c r="AK12" i="8" s="1"/>
  <c r="AL12" i="8" s="1"/>
  <c r="AM12" i="8" s="1"/>
  <c r="AN12" i="8" s="1"/>
  <c r="AO12" i="8" s="1"/>
  <c r="AP12" i="8" s="1"/>
  <c r="AQ12" i="8" s="1"/>
  <c r="D12" i="8"/>
  <c r="C11" i="10"/>
  <c r="A14" i="5"/>
  <c r="C14" i="5"/>
  <c r="B14" i="6" s="1"/>
  <c r="G14" i="5"/>
  <c r="DX15" i="6"/>
  <c r="DW15" i="6"/>
  <c r="DV15" i="6"/>
  <c r="DU15" i="6"/>
  <c r="DT15" i="6"/>
  <c r="DS15" i="6"/>
  <c r="DR15" i="6"/>
  <c r="DQ15" i="6"/>
  <c r="DP15" i="6"/>
  <c r="DO15" i="6"/>
  <c r="D12" i="11"/>
  <c r="C14" i="15"/>
  <c r="L38" i="13"/>
  <c r="F40" i="6"/>
  <c r="B34" i="10"/>
  <c r="S107" i="4"/>
  <c r="S67" i="4"/>
  <c r="C8" i="4"/>
  <c r="C9" i="4"/>
  <c r="C10" i="4"/>
  <c r="C11" i="4"/>
  <c r="C12" i="4"/>
  <c r="C13" i="4"/>
  <c r="L45" i="13"/>
  <c r="A1" i="8"/>
  <c r="C10" i="15"/>
  <c r="G22" i="15"/>
  <c r="C22" i="15"/>
  <c r="E24" i="15"/>
  <c r="E22" i="15"/>
  <c r="G18" i="15"/>
  <c r="E18" i="15"/>
  <c r="C18" i="15"/>
  <c r="C12" i="15"/>
  <c r="E12" i="15"/>
  <c r="G10" i="15"/>
  <c r="E10" i="15"/>
  <c r="B20" i="15"/>
  <c r="B16" i="15"/>
  <c r="B8" i="15"/>
  <c r="Q8" i="5"/>
  <c r="O1" i="4"/>
  <c r="A3" i="4"/>
  <c r="J5" i="4"/>
  <c r="L5" i="4"/>
  <c r="N5" i="4"/>
  <c r="J8" i="4"/>
  <c r="C14" i="4"/>
  <c r="A15" i="4"/>
  <c r="A16" i="4"/>
  <c r="C16" i="4"/>
  <c r="C20" i="4"/>
  <c r="A21" i="4"/>
  <c r="C21" i="4"/>
  <c r="J21" i="4"/>
  <c r="R21" i="4"/>
  <c r="J22" i="4"/>
  <c r="R22" i="4"/>
  <c r="J23" i="4"/>
  <c r="R23" i="4"/>
  <c r="J24" i="4"/>
  <c r="R24" i="4"/>
  <c r="J25" i="4"/>
  <c r="R25" i="4"/>
  <c r="C26" i="4"/>
  <c r="A27" i="4"/>
  <c r="A28" i="4"/>
  <c r="C32" i="4"/>
  <c r="A33" i="4"/>
  <c r="A34" i="4"/>
  <c r="N35" i="4"/>
  <c r="C38" i="4"/>
  <c r="C39" i="4"/>
  <c r="C40" i="4"/>
  <c r="C41" i="4"/>
  <c r="C42" i="4"/>
  <c r="C43" i="4"/>
  <c r="C44" i="4"/>
  <c r="J38" i="4"/>
  <c r="A45" i="4"/>
  <c r="J40" i="4"/>
  <c r="J45" i="4"/>
  <c r="K50" i="4" a="1"/>
  <c r="J61" i="4"/>
  <c r="R61" i="4"/>
  <c r="J62" i="4"/>
  <c r="R62" i="4"/>
  <c r="J63" i="4"/>
  <c r="R63" i="4"/>
  <c r="J64" i="4"/>
  <c r="R64" i="4"/>
  <c r="J65" i="4"/>
  <c r="R65" i="4"/>
  <c r="N75" i="4"/>
  <c r="J78" i="4"/>
  <c r="J80" i="4"/>
  <c r="J85" i="4"/>
  <c r="K90" i="4" a="1"/>
  <c r="J101" i="4"/>
  <c r="R101" i="4"/>
  <c r="J102" i="4"/>
  <c r="R102" i="4"/>
  <c r="J103" i="4"/>
  <c r="R103" i="4"/>
  <c r="J104" i="4"/>
  <c r="R104" i="4"/>
  <c r="J105" i="4"/>
  <c r="R105" i="4"/>
  <c r="N115" i="4"/>
  <c r="J118" i="4"/>
  <c r="J120" i="4"/>
  <c r="J125" i="4"/>
  <c r="K130" i="4" a="1"/>
  <c r="E2" i="12"/>
  <c r="E1" i="12"/>
  <c r="D5" i="12"/>
  <c r="F5" i="12"/>
  <c r="I5" i="12"/>
  <c r="J5" i="12"/>
  <c r="O5" i="12"/>
  <c r="A7" i="12"/>
  <c r="I7" i="12"/>
  <c r="D8" i="12"/>
  <c r="E8" i="12"/>
  <c r="F8" i="12"/>
  <c r="I8" i="12"/>
  <c r="E10" i="12"/>
  <c r="J12" i="12"/>
  <c r="Q12" i="12"/>
  <c r="V13" i="12"/>
  <c r="W13" i="12"/>
  <c r="X13" i="12"/>
  <c r="D15" i="12"/>
  <c r="AB15" i="12"/>
  <c r="D42" i="12"/>
  <c r="E43" i="12"/>
  <c r="K45" i="12" a="1"/>
  <c r="K48" i="12"/>
  <c r="F1" i="6"/>
  <c r="F2" i="6"/>
  <c r="E5" i="6"/>
  <c r="G5" i="6"/>
  <c r="I5" i="6"/>
  <c r="K5" i="6"/>
  <c r="S5" i="6"/>
  <c r="U5" i="6"/>
  <c r="O13" i="6"/>
  <c r="O15" i="6"/>
  <c r="B15" i="6"/>
  <c r="C15" i="6"/>
  <c r="D15" i="6"/>
  <c r="E15" i="6"/>
  <c r="B33" i="6"/>
  <c r="C33" i="6"/>
  <c r="F37" i="6"/>
  <c r="R4" i="8"/>
  <c r="R5" i="8"/>
  <c r="Y7" i="8"/>
  <c r="AE7" i="8"/>
  <c r="H8" i="8"/>
  <c r="J8" i="8"/>
  <c r="K8" i="8"/>
  <c r="T8" i="8"/>
  <c r="Y8" i="8"/>
  <c r="AE8" i="8"/>
  <c r="D13" i="8"/>
  <c r="U13" i="8"/>
  <c r="V13" i="8"/>
  <c r="W13" i="8" s="1"/>
  <c r="X13" i="8" s="1"/>
  <c r="Y13" i="8" s="1"/>
  <c r="Z13" i="8" s="1"/>
  <c r="AA13" i="8" s="1"/>
  <c r="AB13" i="8" s="1"/>
  <c r="AC13" i="8" s="1"/>
  <c r="AD13" i="8" s="1"/>
  <c r="AE13" i="8" s="1"/>
  <c r="AF13" i="8" s="1"/>
  <c r="AG13" i="8" s="1"/>
  <c r="AH13" i="8" s="1"/>
  <c r="AI13" i="8" s="1"/>
  <c r="AJ13" i="8" s="1"/>
  <c r="AK13" i="8" s="1"/>
  <c r="AL13" i="8" s="1"/>
  <c r="AM13" i="8" s="1"/>
  <c r="AN13" i="8" s="1"/>
  <c r="AO13" i="8" s="1"/>
  <c r="AP13" i="8" s="1"/>
  <c r="AQ13" i="8" s="1"/>
  <c r="S34" i="8"/>
  <c r="S39" i="8"/>
  <c r="H44" i="8"/>
  <c r="B1" i="9"/>
  <c r="E12" i="9"/>
  <c r="E11" i="9"/>
  <c r="L2" i="2"/>
  <c r="J14" i="11"/>
  <c r="I14" i="13" s="1"/>
  <c r="N2" i="2"/>
  <c r="P2" i="2"/>
  <c r="R2" i="2"/>
  <c r="T2" i="2"/>
  <c r="V2" i="2"/>
  <c r="X2" i="2"/>
  <c r="Z2" i="2"/>
  <c r="AB2" i="2"/>
  <c r="AD2" i="2"/>
  <c r="AF2" i="2"/>
  <c r="AH2" i="2"/>
  <c r="AJ2" i="2"/>
  <c r="AL2" i="2"/>
  <c r="AN2" i="2"/>
  <c r="AP2" i="2"/>
  <c r="AR2" i="2"/>
  <c r="E9" i="2"/>
  <c r="C9" i="7"/>
  <c r="C14" i="7"/>
  <c r="B14" i="7" s="1"/>
  <c r="B15" i="7"/>
  <c r="C8" i="3"/>
  <c r="C9" i="3"/>
  <c r="C15" i="14"/>
  <c r="C18" i="14"/>
  <c r="C19" i="14"/>
  <c r="B22" i="14"/>
  <c r="B24" i="14"/>
  <c r="B30" i="14"/>
  <c r="B54" i="14"/>
  <c r="B55" i="14"/>
  <c r="R2" i="5"/>
  <c r="O5" i="5"/>
  <c r="Q5" i="5"/>
  <c r="R5" i="5"/>
  <c r="S5" i="5"/>
  <c r="O43" i="5"/>
  <c r="R7" i="5"/>
  <c r="S7" i="5"/>
  <c r="V7" i="5"/>
  <c r="W7" i="5"/>
  <c r="X7" i="5"/>
  <c r="R8" i="5"/>
  <c r="S8" i="5"/>
  <c r="F9" i="5"/>
  <c r="U13" i="5"/>
  <c r="V13" i="5"/>
  <c r="AH13" i="5"/>
  <c r="M15" i="5"/>
  <c r="N15" i="5"/>
  <c r="O15" i="5"/>
  <c r="O46" i="5"/>
  <c r="T48" i="5" a="1"/>
  <c r="B1" i="10"/>
  <c r="H4" i="10"/>
  <c r="V6" i="10"/>
  <c r="AE6" i="10"/>
  <c r="B7" i="10"/>
  <c r="D7" i="10"/>
  <c r="H7" i="10"/>
  <c r="O7" i="10"/>
  <c r="V7" i="10"/>
  <c r="AE7" i="10"/>
  <c r="F12" i="10"/>
  <c r="F11" i="10"/>
  <c r="B31" i="10"/>
  <c r="W33" i="10" a="1"/>
  <c r="W33" i="10"/>
  <c r="D4" i="11"/>
  <c r="F4" i="11"/>
  <c r="G4" i="11"/>
  <c r="J4" i="11"/>
  <c r="M6" i="11"/>
  <c r="D7" i="11"/>
  <c r="L7" i="11"/>
  <c r="M7" i="11"/>
  <c r="N7" i="11"/>
  <c r="O7" i="11"/>
  <c r="J12" i="11"/>
  <c r="I12" i="13" s="1"/>
  <c r="L13" i="11"/>
  <c r="L9" i="11"/>
  <c r="D32" i="11"/>
  <c r="F1" i="13"/>
  <c r="E4" i="13"/>
  <c r="I4" i="13"/>
  <c r="L4" i="13"/>
  <c r="P4" i="13"/>
  <c r="M6" i="13"/>
  <c r="E7" i="13"/>
  <c r="I7" i="13"/>
  <c r="M7" i="13"/>
  <c r="N7" i="13"/>
  <c r="O7" i="13"/>
  <c r="M11" i="13"/>
  <c r="Y11" i="13"/>
  <c r="G12" i="13"/>
  <c r="H12" i="13"/>
  <c r="J24" i="13"/>
  <c r="AC2" i="13"/>
  <c r="E34" i="13"/>
  <c r="B8" i="14" s="1"/>
  <c r="E38" i="13"/>
  <c r="F39" i="13"/>
  <c r="M39" i="13"/>
  <c r="E40" i="13"/>
  <c r="F40" i="13"/>
  <c r="L40" i="13"/>
  <c r="M40" i="13"/>
  <c r="M41" i="13"/>
  <c r="L42" i="13"/>
  <c r="M42" i="13"/>
  <c r="E45" i="13"/>
  <c r="E47" i="13"/>
  <c r="L47" i="13"/>
  <c r="E48" i="13"/>
  <c r="L48" i="13"/>
  <c r="D40" i="12"/>
  <c r="A22" i="4"/>
  <c r="C27" i="4"/>
  <c r="C33" i="4"/>
  <c r="A16" i="11"/>
  <c r="A17" i="11"/>
  <c r="E20" i="13"/>
  <c r="E16" i="12"/>
  <c r="F16" i="6"/>
  <c r="E17" i="12"/>
  <c r="F17" i="6"/>
  <c r="AL12" i="13"/>
  <c r="AO12" i="13"/>
  <c r="AK12" i="13"/>
  <c r="AJ12" i="13"/>
  <c r="AM12" i="13"/>
  <c r="AN12" i="13"/>
  <c r="AL14" i="13"/>
  <c r="I15" i="12"/>
  <c r="AK14" i="13"/>
  <c r="O15" i="12"/>
  <c r="M15" i="12"/>
  <c r="J15" i="12" s="1"/>
  <c r="AO22" i="13"/>
  <c r="AM22" i="13"/>
  <c r="AN22" i="13"/>
  <c r="AL22" i="13"/>
  <c r="AK22" i="13"/>
  <c r="AJ22" i="13"/>
  <c r="AJ21" i="13"/>
  <c r="AL21" i="13"/>
  <c r="AK21" i="13"/>
  <c r="AO21" i="13"/>
  <c r="AM21" i="13"/>
  <c r="AN21" i="13"/>
  <c r="AO14" i="13"/>
  <c r="AN14" i="13"/>
  <c r="AL17" i="13"/>
  <c r="AO17" i="13"/>
  <c r="AJ17" i="13"/>
  <c r="AK17" i="13"/>
  <c r="AO18" i="13"/>
  <c r="AM17" i="13"/>
  <c r="AO15" i="13"/>
  <c r="AN15" i="13"/>
  <c r="AM15" i="13"/>
  <c r="AL16" i="13"/>
  <c r="AK16" i="13"/>
  <c r="AJ16" i="13"/>
  <c r="AL15" i="13"/>
  <c r="AK15" i="13"/>
  <c r="AJ15" i="13"/>
  <c r="AO16" i="13"/>
  <c r="AN16" i="13"/>
  <c r="AM16" i="13"/>
  <c r="AM18" i="13"/>
  <c r="AL20" i="13"/>
  <c r="AJ20" i="13"/>
  <c r="AK20" i="13"/>
  <c r="AO20" i="13"/>
  <c r="AM20" i="13"/>
  <c r="AN20" i="13"/>
  <c r="AL18" i="13"/>
  <c r="AL19" i="13"/>
  <c r="AK19" i="13"/>
  <c r="AJ19" i="13"/>
  <c r="AN18" i="13"/>
  <c r="AO19" i="13"/>
  <c r="AM19" i="13"/>
  <c r="AN19" i="13"/>
  <c r="AK18" i="13"/>
  <c r="AJ18" i="13"/>
  <c r="AN17" i="13"/>
  <c r="AM14" i="13"/>
  <c r="AJ14" i="13"/>
  <c r="J21" i="11"/>
  <c r="I21" i="13" s="1"/>
  <c r="J19" i="11"/>
  <c r="I19" i="13" s="1"/>
  <c r="J18" i="11"/>
  <c r="I18" i="13" s="1"/>
  <c r="J22" i="11"/>
  <c r="I22" i="13" s="1"/>
  <c r="J20" i="11"/>
  <c r="I20" i="13"/>
  <c r="J17" i="11"/>
  <c r="I17" i="13" s="1"/>
  <c r="J16" i="11"/>
  <c r="I16" i="13"/>
  <c r="J15" i="11"/>
  <c r="I15" i="13" s="1"/>
  <c r="A19" i="11"/>
  <c r="C16" i="5"/>
  <c r="C17" i="5"/>
  <c r="E25" i="12"/>
  <c r="F25" i="6"/>
  <c r="D35" i="11"/>
  <c r="P85" i="4"/>
  <c r="H47" i="8"/>
  <c r="P125" i="4"/>
  <c r="L34" i="13"/>
  <c r="I10" i="13"/>
  <c r="O49" i="5"/>
  <c r="P45" i="4"/>
  <c r="E18" i="13"/>
  <c r="K132" i="4"/>
  <c r="AM9" i="10"/>
  <c r="K25" i="10"/>
  <c r="M25" i="10"/>
  <c r="O25" i="10"/>
  <c r="Q25" i="10"/>
  <c r="S25" i="10"/>
  <c r="U25" i="10"/>
  <c r="W25" i="10"/>
  <c r="Y25" i="10"/>
  <c r="AA25" i="10"/>
  <c r="AC25" i="10"/>
  <c r="AE25" i="10"/>
  <c r="E46" i="12"/>
  <c r="F22" i="6"/>
  <c r="E22" i="12"/>
  <c r="W35" i="10"/>
  <c r="W34" i="10"/>
  <c r="K131" i="4"/>
  <c r="K130" i="4"/>
  <c r="A46" i="4"/>
  <c r="C45" i="4"/>
  <c r="W36" i="10"/>
  <c r="B16" i="10"/>
  <c r="B17" i="10"/>
  <c r="B18" i="10" s="1"/>
  <c r="B19" i="10" s="1"/>
  <c r="C16" i="7"/>
  <c r="B16" i="7" s="1"/>
  <c r="B16" i="9"/>
  <c r="B17" i="9" s="1"/>
  <c r="B18" i="9" s="1"/>
  <c r="B19" i="9"/>
  <c r="B20" i="9"/>
  <c r="AV36" i="10"/>
  <c r="AV35" i="10"/>
  <c r="AV33" i="10"/>
  <c r="AV34" i="10"/>
  <c r="C46" i="4"/>
  <c r="A47" i="4"/>
  <c r="A48" i="4"/>
  <c r="C48" i="4"/>
  <c r="C15" i="4"/>
  <c r="E12" i="13"/>
  <c r="A12" i="11"/>
  <c r="A15" i="11"/>
  <c r="E15" i="13"/>
  <c r="E21" i="13"/>
  <c r="A21" i="11"/>
  <c r="A17" i="4"/>
  <c r="A18" i="4"/>
  <c r="C18" i="4"/>
  <c r="C47" i="4"/>
  <c r="C17" i="4"/>
  <c r="A49" i="4"/>
  <c r="C49" i="4"/>
  <c r="A19" i="4"/>
  <c r="C19" i="4"/>
  <c r="H16" i="12"/>
  <c r="F14" i="12"/>
  <c r="H17" i="12"/>
  <c r="G16" i="12"/>
  <c r="H14" i="12"/>
  <c r="F16" i="12"/>
  <c r="F17" i="12"/>
  <c r="H18" i="12"/>
  <c r="G17" i="12"/>
  <c r="H19" i="12"/>
  <c r="G14" i="12"/>
  <c r="F22" i="12"/>
  <c r="F18" i="12"/>
  <c r="H22" i="12"/>
  <c r="F19" i="12"/>
  <c r="H23" i="12"/>
  <c r="G18" i="12"/>
  <c r="G19" i="12"/>
  <c r="G22" i="12"/>
  <c r="H24" i="12"/>
  <c r="F25" i="12"/>
  <c r="F23" i="12"/>
  <c r="H25" i="12"/>
  <c r="F24" i="12"/>
  <c r="G23" i="12"/>
  <c r="H26" i="12"/>
  <c r="H27" i="12"/>
  <c r="G24" i="12"/>
  <c r="G25" i="12"/>
  <c r="F26" i="12"/>
  <c r="F27" i="12"/>
  <c r="G26" i="12"/>
  <c r="G27" i="12"/>
  <c r="K46" i="12"/>
  <c r="K45" i="12"/>
  <c r="K47" i="12"/>
  <c r="T49" i="5"/>
  <c r="T48" i="5"/>
  <c r="T50" i="5"/>
  <c r="C22" i="4"/>
  <c r="A23" i="4"/>
  <c r="K51" i="4"/>
  <c r="K52" i="4"/>
  <c r="K50" i="4"/>
  <c r="C28" i="4"/>
  <c r="A29" i="4"/>
  <c r="B37" i="14"/>
  <c r="B42" i="14" s="1"/>
  <c r="C14" i="14"/>
  <c r="B39" i="14"/>
  <c r="E14" i="13"/>
  <c r="A14" i="11"/>
  <c r="K90" i="4"/>
  <c r="K92" i="4"/>
  <c r="K91" i="4"/>
  <c r="C34" i="4"/>
  <c r="A35" i="4"/>
  <c r="A4" i="4"/>
  <c r="C3" i="4"/>
  <c r="C23" i="4"/>
  <c r="A24" i="4"/>
  <c r="C4" i="4"/>
  <c r="A5" i="4"/>
  <c r="C29" i="4"/>
  <c r="A30" i="4"/>
  <c r="C35" i="4"/>
  <c r="A36" i="4"/>
  <c r="A31" i="4"/>
  <c r="C31" i="4"/>
  <c r="C30" i="4"/>
  <c r="A6" i="4"/>
  <c r="C5" i="4"/>
  <c r="C36" i="4"/>
  <c r="A37" i="4"/>
  <c r="C37" i="4"/>
  <c r="C24" i="4"/>
  <c r="A25" i="4"/>
  <c r="C25" i="4"/>
  <c r="Z22" i="4"/>
  <c r="Y102" i="4"/>
  <c r="A7" i="4"/>
  <c r="C7" i="4"/>
  <c r="C6" i="4"/>
  <c r="Z105" i="4"/>
  <c r="X109" i="4"/>
  <c r="Y21" i="4"/>
  <c r="X62" i="4"/>
  <c r="Y61" i="4"/>
  <c r="E19" i="12"/>
  <c r="F19" i="6"/>
  <c r="X101" i="4"/>
  <c r="Z64" i="4"/>
  <c r="Z104" i="4"/>
  <c r="Y25" i="4"/>
  <c r="Z23" i="4"/>
  <c r="Y103" i="4"/>
  <c r="X63" i="4"/>
  <c r="X23" i="4"/>
  <c r="X105" i="4"/>
  <c r="X25" i="4"/>
  <c r="Z109" i="4"/>
  <c r="X102" i="4"/>
  <c r="Z29" i="4"/>
  <c r="Z21" i="4"/>
  <c r="X69" i="4"/>
  <c r="Y105" i="4"/>
  <c r="X65" i="4"/>
  <c r="Z65" i="4"/>
  <c r="Z62" i="4"/>
  <c r="Y104" i="4"/>
  <c r="Z25" i="4"/>
  <c r="Z63" i="4"/>
  <c r="Y65" i="4"/>
  <c r="X104" i="4"/>
  <c r="X21" i="4"/>
  <c r="X64" i="4"/>
  <c r="Y29" i="4"/>
  <c r="Z102" i="4"/>
  <c r="X61" i="4"/>
  <c r="Y22" i="4"/>
  <c r="X103" i="4"/>
  <c r="Z69" i="4"/>
  <c r="Y24" i="4"/>
  <c r="Y63" i="4"/>
  <c r="Z61" i="4"/>
  <c r="Z101" i="4"/>
  <c r="Z103" i="4"/>
  <c r="Y69" i="4"/>
  <c r="Y64" i="4"/>
  <c r="Y23" i="4"/>
  <c r="X22" i="4"/>
  <c r="Y101" i="4"/>
  <c r="X29" i="4"/>
  <c r="Y109" i="4"/>
  <c r="Y62" i="4"/>
  <c r="Z24" i="4"/>
  <c r="X24" i="4"/>
  <c r="E20" i="12"/>
  <c r="F20" i="6"/>
  <c r="F21" i="6"/>
  <c r="E21" i="12"/>
  <c r="F24" i="6"/>
  <c r="E24" i="12"/>
  <c r="F28" i="6"/>
  <c r="E28" i="12"/>
  <c r="E29" i="12"/>
  <c r="F29" i="6"/>
  <c r="E30" i="12"/>
  <c r="F30" i="6"/>
  <c r="E31" i="12"/>
  <c r="F31" i="6"/>
  <c r="F32" i="6"/>
  <c r="E32" i="12"/>
  <c r="T40" i="6"/>
  <c r="AJ41" i="6"/>
  <c r="DO12" i="6"/>
  <c r="FN12" i="6"/>
  <c r="I41" i="6"/>
  <c r="G16" i="5"/>
  <c r="FO12" i="6"/>
  <c r="H15" i="10"/>
  <c r="N16" i="5"/>
  <c r="S30" i="4"/>
  <c r="AB40" i="6"/>
  <c r="T39" i="6"/>
  <c r="H17" i="5"/>
  <c r="B17" i="6"/>
  <c r="A17" i="6" s="1"/>
  <c r="F16" i="7"/>
  <c r="AB41" i="6"/>
  <c r="A16" i="12"/>
  <c r="H16" i="5"/>
  <c r="B16" i="6"/>
  <c r="H12" i="9"/>
  <c r="AJ39" i="6"/>
  <c r="I40" i="6"/>
  <c r="DQ13" i="6"/>
  <c r="DQ12" i="6" s="1"/>
  <c r="DP12" i="6"/>
  <c r="D14" i="5"/>
  <c r="B14" i="12" s="1"/>
  <c r="E14" i="5"/>
  <c r="N14" i="5"/>
  <c r="D14" i="6" s="1"/>
  <c r="H14" i="6" s="1"/>
  <c r="T14" i="5" s="1"/>
  <c r="A17" i="8"/>
  <c r="A20" i="8" s="1"/>
  <c r="A23" i="8" s="1"/>
  <c r="BH39" i="6"/>
  <c r="D16" i="6"/>
  <c r="FJ16" i="6" s="1"/>
  <c r="AZ40" i="6"/>
  <c r="N10" i="12"/>
  <c r="L15" i="12"/>
  <c r="S70" i="4"/>
  <c r="S69" i="4"/>
  <c r="F14" i="7"/>
  <c r="FF16" i="6"/>
  <c r="GQ16" i="6"/>
  <c r="GY16" i="6"/>
  <c r="GM16" i="6"/>
  <c r="FV16" i="6"/>
  <c r="HE16" i="6"/>
  <c r="FK16" i="6"/>
  <c r="GX16" i="6"/>
  <c r="HG16" i="6"/>
  <c r="FA16" i="6"/>
  <c r="FE16" i="6"/>
  <c r="GJ16" i="6"/>
  <c r="EK16" i="6"/>
  <c r="EZ16" i="6"/>
  <c r="FT16" i="6"/>
  <c r="HI16" i="6"/>
  <c r="FC16" i="6"/>
  <c r="B20" i="10"/>
  <c r="I55" i="4"/>
  <c r="I59" i="4"/>
  <c r="I74" i="4"/>
  <c r="I91" i="4"/>
  <c r="I70" i="4"/>
  <c r="I82" i="4"/>
  <c r="I81" i="4"/>
  <c r="I62" i="4"/>
  <c r="I64" i="4"/>
  <c r="I63" i="4"/>
  <c r="I77" i="4"/>
  <c r="I83" i="4"/>
  <c r="I76" i="4"/>
  <c r="I86" i="4"/>
  <c r="I78" i="4"/>
  <c r="G5" i="5"/>
  <c r="W8" i="5" s="1"/>
  <c r="I88" i="4"/>
  <c r="I89" i="4"/>
  <c r="U69" i="4"/>
  <c r="I67" i="4"/>
  <c r="I90" i="4"/>
  <c r="I93" i="4"/>
  <c r="I65" i="4"/>
  <c r="I72" i="4"/>
  <c r="I61" i="4"/>
  <c r="I75" i="4"/>
  <c r="I58" i="4"/>
  <c r="I57" i="4"/>
  <c r="I85" i="4"/>
  <c r="I60" i="4"/>
  <c r="I79" i="4"/>
  <c r="I56" i="4"/>
  <c r="I68" i="4"/>
  <c r="I84" i="4"/>
  <c r="I92" i="4"/>
  <c r="I54" i="4"/>
  <c r="I73" i="4"/>
  <c r="I66" i="4"/>
  <c r="I87" i="4"/>
  <c r="I69" i="4"/>
  <c r="I71" i="4"/>
  <c r="I80" i="4"/>
  <c r="A26" i="8"/>
  <c r="A29" i="8" s="1"/>
  <c r="O8" i="5"/>
  <c r="AF14" i="5"/>
  <c r="AF21" i="5"/>
  <c r="AF17" i="5"/>
  <c r="AF19" i="5"/>
  <c r="AF22" i="5"/>
  <c r="AF24" i="5"/>
  <c r="AF25" i="5"/>
  <c r="AF20" i="5"/>
  <c r="AF18" i="5"/>
  <c r="AF23" i="5"/>
  <c r="AF28" i="5"/>
  <c r="AF32" i="5"/>
  <c r="AF26" i="5"/>
  <c r="AF27" i="5"/>
  <c r="AF30" i="5"/>
  <c r="AF31" i="5"/>
  <c r="AF16" i="5"/>
  <c r="AF29" i="5"/>
  <c r="F5" i="5" l="1"/>
  <c r="U29" i="4"/>
  <c r="J32" i="4" s="1"/>
  <c r="A14" i="6"/>
  <c r="DR13" i="6"/>
  <c r="N15" i="12"/>
  <c r="K15" i="12"/>
  <c r="C17" i="7"/>
  <c r="AG29" i="5"/>
  <c r="S16" i="5"/>
  <c r="AG16" i="5"/>
  <c r="AG31" i="5"/>
  <c r="AG30" i="5"/>
  <c r="S27" i="5"/>
  <c r="AG27" i="5"/>
  <c r="AG26" i="5"/>
  <c r="S26" i="5"/>
  <c r="AG32" i="5"/>
  <c r="AG28" i="5"/>
  <c r="S28" i="5"/>
  <c r="AG23" i="5"/>
  <c r="S23" i="5"/>
  <c r="S18" i="5"/>
  <c r="AG18" i="5"/>
  <c r="S20" i="5"/>
  <c r="AG20" i="5"/>
  <c r="S25" i="5"/>
  <c r="AG25" i="5"/>
  <c r="AG24" i="5"/>
  <c r="AG22" i="5"/>
  <c r="S22" i="5"/>
  <c r="AG19" i="5"/>
  <c r="AG17" i="5"/>
  <c r="S17" i="5"/>
  <c r="AG21" i="5"/>
  <c r="AG14" i="5"/>
  <c r="S14" i="5"/>
  <c r="R14" i="5"/>
  <c r="AL48" i="8"/>
  <c r="AL47" i="8"/>
  <c r="AL46" i="8"/>
  <c r="S110" i="4"/>
  <c r="S109" i="4"/>
  <c r="K72" i="4"/>
  <c r="J72" i="4"/>
  <c r="V13" i="6"/>
  <c r="N14" i="6"/>
  <c r="M14" i="6"/>
  <c r="AC13" i="12"/>
  <c r="AD13" i="12" s="1"/>
  <c r="AE13" i="12" s="1"/>
  <c r="AF13" i="12" s="1"/>
  <c r="AG13" i="12" s="1"/>
  <c r="AH13" i="12" s="1"/>
  <c r="AI13" i="12" s="1"/>
  <c r="AJ13" i="12" s="1"/>
  <c r="AK13" i="12" s="1"/>
  <c r="AL13" i="12" s="1"/>
  <c r="AM13" i="12" s="1"/>
  <c r="M8" i="12"/>
  <c r="AO7" i="12"/>
  <c r="Z48" i="8"/>
  <c r="Z46" i="8"/>
  <c r="Z47" i="8"/>
  <c r="BP12" i="6"/>
  <c r="BP14" i="6" s="1"/>
  <c r="BQ13" i="6"/>
  <c r="A22" i="11"/>
  <c r="E22" i="13"/>
  <c r="EI16" i="6"/>
  <c r="GC16" i="6"/>
  <c r="G16" i="6"/>
  <c r="FO16" i="6"/>
  <c r="FU16" i="6"/>
  <c r="HJ16" i="6"/>
  <c r="GR16" i="6"/>
  <c r="HB16" i="6"/>
  <c r="GG16" i="6"/>
  <c r="EY16" i="6"/>
  <c r="EO16" i="6"/>
  <c r="ED16" i="6"/>
  <c r="ER16" i="6"/>
  <c r="FN16" i="6"/>
  <c r="N16" i="6"/>
  <c r="FG16" i="6"/>
  <c r="EW16" i="6"/>
  <c r="FS16" i="6"/>
  <c r="EJ16" i="6"/>
  <c r="GU16" i="6"/>
  <c r="EP16" i="6"/>
  <c r="GT16" i="6"/>
  <c r="EN16" i="6"/>
  <c r="FL16" i="6"/>
  <c r="FD16" i="6"/>
  <c r="DQ16" i="6"/>
  <c r="DR16" i="6"/>
  <c r="FZ16" i="6"/>
  <c r="EV16" i="6"/>
  <c r="GE16" i="6"/>
  <c r="DX16" i="6"/>
  <c r="DT16" i="6"/>
  <c r="FQ16" i="6"/>
  <c r="HK16" i="6"/>
  <c r="GO16" i="6"/>
  <c r="FW16" i="6"/>
  <c r="GB16" i="6"/>
  <c r="FH16" i="6"/>
  <c r="EA16" i="6"/>
  <c r="FP16" i="6"/>
  <c r="GH16" i="6"/>
  <c r="HH16" i="6"/>
  <c r="GF16" i="6"/>
  <c r="EC16" i="6"/>
  <c r="GA16" i="6"/>
  <c r="H16" i="6"/>
  <c r="T16" i="5" s="1"/>
  <c r="DO16" i="6"/>
  <c r="GI16" i="6"/>
  <c r="EF16" i="6"/>
  <c r="ET16" i="6"/>
  <c r="GP16" i="6"/>
  <c r="EM16" i="6"/>
  <c r="EU16" i="6"/>
  <c r="GZ16" i="6"/>
  <c r="EQ16" i="6"/>
  <c r="HC16" i="6"/>
  <c r="FI16" i="6"/>
  <c r="DS16" i="6"/>
  <c r="EB16" i="6"/>
  <c r="EG16" i="6"/>
  <c r="GW16" i="6"/>
  <c r="DZ16" i="6"/>
  <c r="M16" i="6"/>
  <c r="EX16" i="6"/>
  <c r="GK16" i="6"/>
  <c r="DV16" i="6"/>
  <c r="EL16" i="6"/>
  <c r="GV16" i="6"/>
  <c r="HD16" i="6"/>
  <c r="DU16" i="6"/>
  <c r="GD16" i="6"/>
  <c r="DW16" i="6"/>
  <c r="DP16" i="6"/>
  <c r="GN16" i="6"/>
  <c r="FR16" i="6"/>
  <c r="HF16" i="6"/>
  <c r="DY16" i="6"/>
  <c r="EE16" i="6"/>
  <c r="EH16" i="6"/>
  <c r="GL16" i="6"/>
  <c r="FB16" i="6"/>
  <c r="HA16" i="6"/>
  <c r="ES16" i="6"/>
  <c r="FY16" i="6"/>
  <c r="FX16" i="6"/>
  <c r="GS16" i="6"/>
  <c r="K32" i="4"/>
  <c r="G14" i="6"/>
  <c r="DO14" i="6"/>
  <c r="FS14" i="6"/>
  <c r="GX14" i="6"/>
  <c r="HI14" i="6"/>
  <c r="FN14" i="6"/>
  <c r="FT14" i="6"/>
  <c r="HB14" i="6"/>
  <c r="GA14" i="6"/>
  <c r="GC14" i="6"/>
  <c r="GI14" i="6"/>
  <c r="FO14" i="6"/>
  <c r="FP14" i="6"/>
  <c r="HH14" i="6"/>
  <c r="GG14" i="6"/>
  <c r="I12" i="9"/>
  <c r="H11" i="9"/>
  <c r="E16" i="5"/>
  <c r="AZ39" i="6"/>
  <c r="AZ41" i="6"/>
  <c r="R19" i="6"/>
  <c r="R24" i="6"/>
  <c r="AR39" i="6"/>
  <c r="AR40" i="6"/>
  <c r="AR41" i="6"/>
  <c r="AH25" i="5"/>
  <c r="AN25" i="5" s="1"/>
  <c r="AH19" i="5"/>
  <c r="AN19" i="5" s="1"/>
  <c r="AH27" i="5"/>
  <c r="AN27" i="5" s="1"/>
  <c r="AH16" i="5"/>
  <c r="AN16" i="5" s="1"/>
  <c r="AH29" i="5"/>
  <c r="AN29" i="5" s="1"/>
  <c r="AH20" i="5"/>
  <c r="AN20" i="5" s="1"/>
  <c r="AH31" i="5"/>
  <c r="AN31" i="5" s="1"/>
  <c r="AH28" i="5"/>
  <c r="AN28" i="5" s="1"/>
  <c r="AH23" i="5"/>
  <c r="AN23" i="5" s="1"/>
  <c r="AH22" i="5"/>
  <c r="AN22" i="5" s="1"/>
  <c r="F18" i="7"/>
  <c r="A16" i="6"/>
  <c r="F17" i="7"/>
  <c r="F19" i="7"/>
  <c r="G15" i="9"/>
  <c r="F20" i="7"/>
  <c r="F15" i="7"/>
  <c r="A15" i="10" s="1"/>
  <c r="M15" i="6"/>
  <c r="BH41" i="6"/>
  <c r="BH40" i="6"/>
  <c r="H14" i="5"/>
  <c r="AD14" i="5"/>
  <c r="J14" i="5"/>
  <c r="F14" i="5"/>
  <c r="K14" i="5"/>
  <c r="AE14" i="5"/>
  <c r="B14" i="5"/>
  <c r="A14" i="12"/>
  <c r="I17" i="5"/>
  <c r="A17" i="12"/>
  <c r="G17" i="5"/>
  <c r="B17" i="5"/>
  <c r="N17" i="5"/>
  <c r="C18" i="5"/>
  <c r="AE17" i="5"/>
  <c r="W17" i="5"/>
  <c r="I12" i="10"/>
  <c r="H11" i="10"/>
  <c r="FP12" i="6"/>
  <c r="FQ13" i="6"/>
  <c r="W16" i="5"/>
  <c r="I16" i="5"/>
  <c r="F16" i="5"/>
  <c r="F17" i="5" s="1"/>
  <c r="B16" i="5"/>
  <c r="AE16" i="5"/>
  <c r="C18" i="7" l="1"/>
  <c r="B17" i="7"/>
  <c r="DR12" i="6"/>
  <c r="DS13" i="6"/>
  <c r="AH14" i="5"/>
  <c r="AH32" i="5"/>
  <c r="AN32" i="5" s="1"/>
  <c r="AH21" i="5"/>
  <c r="AN21" i="5" s="1"/>
  <c r="AH30" i="5"/>
  <c r="AN30" i="5" s="1"/>
  <c r="AH17" i="5"/>
  <c r="AN17" i="5" s="1"/>
  <c r="AH24" i="5"/>
  <c r="AN24" i="5" s="1"/>
  <c r="V8" i="5"/>
  <c r="AH26" i="5"/>
  <c r="AN26" i="5" s="1"/>
  <c r="AH18" i="5"/>
  <c r="AN18" i="5" s="1"/>
  <c r="E17" i="5"/>
  <c r="A14" i="13"/>
  <c r="B14" i="11"/>
  <c r="J12" i="9"/>
  <c r="I11" i="9"/>
  <c r="BP16" i="6"/>
  <c r="W13" i="6"/>
  <c r="E14" i="12"/>
  <c r="F14" i="6"/>
  <c r="FQ12" i="6"/>
  <c r="FR13" i="6"/>
  <c r="D17" i="6"/>
  <c r="J14" i="12"/>
  <c r="L14" i="12"/>
  <c r="K14" i="12" s="1"/>
  <c r="I108" i="4"/>
  <c r="I100" i="4"/>
  <c r="I98" i="4"/>
  <c r="I112" i="4"/>
  <c r="I94" i="4"/>
  <c r="I113" i="4"/>
  <c r="I102" i="4"/>
  <c r="I123" i="4"/>
  <c r="H5" i="5"/>
  <c r="X8" i="5" s="1"/>
  <c r="I129" i="4"/>
  <c r="I119" i="4"/>
  <c r="I120" i="4"/>
  <c r="I101" i="4"/>
  <c r="I127" i="4"/>
  <c r="I118" i="4"/>
  <c r="I132" i="4"/>
  <c r="I104" i="4"/>
  <c r="I111" i="4"/>
  <c r="I105" i="4"/>
  <c r="I124" i="4"/>
  <c r="I131" i="4"/>
  <c r="I97" i="4"/>
  <c r="I106" i="4"/>
  <c r="I109" i="4"/>
  <c r="I96" i="4"/>
  <c r="I121" i="4"/>
  <c r="I117" i="4"/>
  <c r="I122" i="4"/>
  <c r="I110" i="4"/>
  <c r="I103" i="4"/>
  <c r="I114" i="4"/>
  <c r="I116" i="4"/>
  <c r="I126" i="4"/>
  <c r="U109" i="4"/>
  <c r="I107" i="4"/>
  <c r="I95" i="4"/>
  <c r="I125" i="4"/>
  <c r="I99" i="4"/>
  <c r="I130" i="4"/>
  <c r="I128" i="4"/>
  <c r="I115" i="4"/>
  <c r="AD16" i="5"/>
  <c r="J12" i="10"/>
  <c r="I11" i="10"/>
  <c r="D18" i="5"/>
  <c r="B18" i="12" s="1"/>
  <c r="J18" i="5"/>
  <c r="B18" i="6"/>
  <c r="AD18" i="5"/>
  <c r="F18" i="5"/>
  <c r="H18" i="5"/>
  <c r="N18" i="5"/>
  <c r="G18" i="5"/>
  <c r="A18" i="12"/>
  <c r="R18" i="5"/>
  <c r="AE18" i="5"/>
  <c r="W18" i="5"/>
  <c r="B18" i="5"/>
  <c r="K18" i="5"/>
  <c r="E18" i="5"/>
  <c r="C19" i="5"/>
  <c r="BR13" i="6"/>
  <c r="BQ12" i="6"/>
  <c r="GT14" i="6"/>
  <c r="GO14" i="6"/>
  <c r="GZ14" i="6"/>
  <c r="HE14" i="6"/>
  <c r="GM14" i="6"/>
  <c r="FZ14" i="6"/>
  <c r="FU14" i="6"/>
  <c r="GK14" i="6"/>
  <c r="GR14" i="6"/>
  <c r="DQ14" i="6"/>
  <c r="FR14" i="6"/>
  <c r="GD14" i="6"/>
  <c r="GB14" i="6"/>
  <c r="HF14" i="6"/>
  <c r="DP14" i="6"/>
  <c r="FV14" i="6"/>
  <c r="GE14" i="6"/>
  <c r="HA14" i="6"/>
  <c r="GN14" i="6"/>
  <c r="GH14" i="6"/>
  <c r="FW14" i="6"/>
  <c r="HK14" i="6"/>
  <c r="FY14" i="6"/>
  <c r="HJ14" i="6"/>
  <c r="DR14" i="6"/>
  <c r="HG14" i="6"/>
  <c r="FX14" i="6"/>
  <c r="GF14" i="6"/>
  <c r="GP14" i="6"/>
  <c r="FQ14" i="6"/>
  <c r="GW14" i="6"/>
  <c r="GQ14" i="6"/>
  <c r="GJ14" i="6"/>
  <c r="GY14" i="6"/>
  <c r="GL14" i="6"/>
  <c r="GV14" i="6"/>
  <c r="HD14" i="6"/>
  <c r="GS14" i="6"/>
  <c r="GU14" i="6"/>
  <c r="HC14" i="6"/>
  <c r="DS12" i="6" l="1"/>
  <c r="DT13" i="6"/>
  <c r="DS14" i="6"/>
  <c r="W14" i="5"/>
  <c r="X14" i="5" s="1"/>
  <c r="AN14" i="5"/>
  <c r="C19" i="7"/>
  <c r="B18" i="7"/>
  <c r="BQ16" i="6"/>
  <c r="BQ14" i="6"/>
  <c r="A19" i="12"/>
  <c r="W19" i="5"/>
  <c r="B19" i="5"/>
  <c r="J19" i="5"/>
  <c r="G19" i="5"/>
  <c r="N19" i="5"/>
  <c r="E19" i="5"/>
  <c r="K19" i="5"/>
  <c r="B19" i="6"/>
  <c r="AD19" i="5"/>
  <c r="C20" i="5"/>
  <c r="AE19" i="5"/>
  <c r="H19" i="5"/>
  <c r="D19" i="5"/>
  <c r="B19" i="12" s="1"/>
  <c r="F19" i="5"/>
  <c r="GM17" i="6"/>
  <c r="GJ17" i="6"/>
  <c r="EX17" i="6"/>
  <c r="EN17" i="6"/>
  <c r="GK17" i="6"/>
  <c r="EV17" i="6"/>
  <c r="GU17" i="6"/>
  <c r="FL17" i="6"/>
  <c r="GX17" i="6"/>
  <c r="HK17" i="6"/>
  <c r="GC17" i="6"/>
  <c r="DP17" i="6"/>
  <c r="FX17" i="6"/>
  <c r="N17" i="6"/>
  <c r="FQ17" i="6"/>
  <c r="HE17" i="6"/>
  <c r="DO17" i="6"/>
  <c r="EA17" i="6"/>
  <c r="DW17" i="6"/>
  <c r="FO17" i="6"/>
  <c r="DR17" i="6"/>
  <c r="ER17" i="6"/>
  <c r="FH17" i="6"/>
  <c r="GY17" i="6"/>
  <c r="H17" i="6"/>
  <c r="T17" i="5" s="1"/>
  <c r="FY17" i="6"/>
  <c r="GZ17" i="6"/>
  <c r="G17" i="6"/>
  <c r="DV17" i="6"/>
  <c r="FG17" i="6"/>
  <c r="GI17" i="6"/>
  <c r="EH17" i="6"/>
  <c r="FA17" i="6"/>
  <c r="ED17" i="6"/>
  <c r="EJ17" i="6"/>
  <c r="EQ17" i="6"/>
  <c r="FW17" i="6"/>
  <c r="HG17" i="6"/>
  <c r="FT17" i="6"/>
  <c r="DQ17" i="6"/>
  <c r="EP17" i="6"/>
  <c r="EE17" i="6"/>
  <c r="GQ17" i="6"/>
  <c r="DZ17" i="6"/>
  <c r="FI17" i="6"/>
  <c r="GP17" i="6"/>
  <c r="GB17" i="6"/>
  <c r="GH17" i="6"/>
  <c r="EC17" i="6"/>
  <c r="EZ17" i="6"/>
  <c r="HF17" i="6"/>
  <c r="DU17" i="6"/>
  <c r="EU17" i="6"/>
  <c r="FZ17" i="6"/>
  <c r="M17" i="6"/>
  <c r="BQ17" i="6" s="1"/>
  <c r="HC17" i="6"/>
  <c r="GF17" i="6"/>
  <c r="FJ17" i="6"/>
  <c r="GS17" i="6"/>
  <c r="HH17" i="6"/>
  <c r="FN17" i="6"/>
  <c r="EI17" i="6"/>
  <c r="FE17" i="6"/>
  <c r="EG17" i="6"/>
  <c r="HD17" i="6"/>
  <c r="FK17" i="6"/>
  <c r="FF17" i="6"/>
  <c r="FD17" i="6"/>
  <c r="EK17" i="6"/>
  <c r="GE17" i="6"/>
  <c r="ES17" i="6"/>
  <c r="FB17" i="6"/>
  <c r="EL17" i="6"/>
  <c r="DT17" i="6"/>
  <c r="GT17" i="6"/>
  <c r="EW17" i="6"/>
  <c r="GL17" i="6"/>
  <c r="GO17" i="6"/>
  <c r="DY17" i="6"/>
  <c r="FS17" i="6"/>
  <c r="HB17" i="6"/>
  <c r="ET17" i="6"/>
  <c r="HA17" i="6"/>
  <c r="EF17" i="6"/>
  <c r="EM17" i="6"/>
  <c r="DX17" i="6"/>
  <c r="HJ17" i="6"/>
  <c r="FU17" i="6"/>
  <c r="GA17" i="6"/>
  <c r="GV17" i="6"/>
  <c r="EO17" i="6"/>
  <c r="GG17" i="6"/>
  <c r="FR17" i="6"/>
  <c r="GD17" i="6"/>
  <c r="GR17" i="6"/>
  <c r="FP17" i="6"/>
  <c r="EB17" i="6"/>
  <c r="FC17" i="6"/>
  <c r="DS17" i="6"/>
  <c r="FV17" i="6"/>
  <c r="GW17" i="6"/>
  <c r="GN17" i="6"/>
  <c r="HI17" i="6"/>
  <c r="EY17" i="6"/>
  <c r="BR12" i="6"/>
  <c r="BR17" i="6" s="1"/>
  <c r="BS13" i="6"/>
  <c r="F18" i="6"/>
  <c r="E18" i="12"/>
  <c r="AD17" i="5"/>
  <c r="J112" i="4"/>
  <c r="K112" i="4"/>
  <c r="FS13" i="6"/>
  <c r="FR12" i="6"/>
  <c r="J11" i="9"/>
  <c r="K12" i="9"/>
  <c r="C14" i="13"/>
  <c r="K14" i="11"/>
  <c r="J14" i="13" s="1"/>
  <c r="G14" i="11"/>
  <c r="F14" i="13" s="1"/>
  <c r="D18" i="6"/>
  <c r="K12" i="10"/>
  <c r="J11" i="10"/>
  <c r="X13" i="6"/>
  <c r="J18" i="12"/>
  <c r="L18" i="12"/>
  <c r="K18" i="12" s="1"/>
  <c r="B19" i="7" l="1"/>
  <c r="C20" i="7"/>
  <c r="B20" i="7" s="1"/>
  <c r="DT12" i="6"/>
  <c r="DU13" i="6"/>
  <c r="DT14" i="6"/>
  <c r="AM14" i="5"/>
  <c r="L14" i="5"/>
  <c r="I14" i="12"/>
  <c r="Z14" i="5"/>
  <c r="I14" i="5"/>
  <c r="AC14" i="5"/>
  <c r="H18" i="6"/>
  <c r="T18" i="5" s="1"/>
  <c r="X18" i="5" s="1"/>
  <c r="G18" i="6"/>
  <c r="BR14" i="6"/>
  <c r="BR16" i="6"/>
  <c r="K11" i="10"/>
  <c r="L12" i="10"/>
  <c r="K11" i="9"/>
  <c r="L12" i="9"/>
  <c r="Y13" i="6"/>
  <c r="BT13" i="6"/>
  <c r="BS12" i="6"/>
  <c r="J19" i="12"/>
  <c r="L19" i="12"/>
  <c r="K19" i="12" s="1"/>
  <c r="BP17" i="6"/>
  <c r="K14" i="13"/>
  <c r="FS12" i="6"/>
  <c r="FT13" i="6"/>
  <c r="A18" i="6"/>
  <c r="M18" i="6" s="1"/>
  <c r="A20" i="12"/>
  <c r="B20" i="6"/>
  <c r="A20" i="6" s="1"/>
  <c r="C21" i="5"/>
  <c r="F20" i="5"/>
  <c r="AD20" i="5"/>
  <c r="I20" i="5"/>
  <c r="W20" i="5"/>
  <c r="E20" i="5"/>
  <c r="G20" i="5"/>
  <c r="H20" i="5"/>
  <c r="N20" i="5"/>
  <c r="B20" i="5"/>
  <c r="AE20" i="5"/>
  <c r="D19" i="6"/>
  <c r="DU12" i="6" l="1"/>
  <c r="DV13" i="6"/>
  <c r="DU14" i="6"/>
  <c r="O14" i="5"/>
  <c r="C14" i="6"/>
  <c r="M14" i="12"/>
  <c r="C14" i="12"/>
  <c r="O14" i="12"/>
  <c r="N14" i="12" s="1"/>
  <c r="AO14" i="12"/>
  <c r="AB14" i="5"/>
  <c r="AA14" i="5"/>
  <c r="DT18" i="6"/>
  <c r="DS18" i="6"/>
  <c r="FR18" i="6"/>
  <c r="DV18" i="6"/>
  <c r="FN18" i="6"/>
  <c r="DR18" i="6"/>
  <c r="FP18" i="6"/>
  <c r="FQ18" i="6"/>
  <c r="DO18" i="6"/>
  <c r="FS18" i="6"/>
  <c r="DP18" i="6"/>
  <c r="FO18" i="6"/>
  <c r="FT18" i="6"/>
  <c r="DQ18" i="6"/>
  <c r="DU18" i="6"/>
  <c r="L11" i="9"/>
  <c r="M12" i="9"/>
  <c r="L18" i="5"/>
  <c r="AM18" i="5"/>
  <c r="I18" i="12"/>
  <c r="Z18" i="5"/>
  <c r="I18" i="5"/>
  <c r="AC18" i="5"/>
  <c r="BS14" i="6"/>
  <c r="BS16" i="6"/>
  <c r="BS17" i="6"/>
  <c r="K17" i="5"/>
  <c r="BT12" i="6"/>
  <c r="BU13" i="6"/>
  <c r="A19" i="6"/>
  <c r="N19" i="6" s="1"/>
  <c r="BP18" i="6"/>
  <c r="N18" i="6"/>
  <c r="H19" i="6"/>
  <c r="T19" i="5" s="1"/>
  <c r="X19" i="5" s="1"/>
  <c r="G19" i="6"/>
  <c r="D20" i="6"/>
  <c r="J21" i="5"/>
  <c r="D21" i="5"/>
  <c r="B21" i="12" s="1"/>
  <c r="G21" i="5"/>
  <c r="B21" i="6"/>
  <c r="W21" i="5"/>
  <c r="AD21" i="5"/>
  <c r="F21" i="5"/>
  <c r="B21" i="5"/>
  <c r="H21" i="5"/>
  <c r="N21" i="5"/>
  <c r="AE21" i="5"/>
  <c r="K21" i="5"/>
  <c r="E21" i="5"/>
  <c r="C22" i="5"/>
  <c r="A21" i="12"/>
  <c r="M12" i="10"/>
  <c r="L11" i="10"/>
  <c r="BS18" i="6"/>
  <c r="BQ18" i="6"/>
  <c r="FU13" i="6"/>
  <c r="FU18" i="6" s="1"/>
  <c r="FT12" i="6"/>
  <c r="Z13" i="6"/>
  <c r="BR18" i="6"/>
  <c r="E14" i="6" l="1"/>
  <c r="D14" i="12"/>
  <c r="DV12" i="6"/>
  <c r="DW13" i="6"/>
  <c r="DV14" i="6"/>
  <c r="Y14" i="12"/>
  <c r="L19" i="5"/>
  <c r="I19" i="12"/>
  <c r="AM19" i="5"/>
  <c r="Z19" i="5"/>
  <c r="I19" i="5"/>
  <c r="AC19" i="5"/>
  <c r="AB18" i="5"/>
  <c r="B22" i="5"/>
  <c r="F22" i="5"/>
  <c r="B22" i="6"/>
  <c r="A22" i="6" s="1"/>
  <c r="A22" i="12"/>
  <c r="AD22" i="5"/>
  <c r="C23" i="5"/>
  <c r="W22" i="5"/>
  <c r="N22" i="5"/>
  <c r="G22" i="5"/>
  <c r="E22" i="5"/>
  <c r="I22" i="5"/>
  <c r="H22" i="5"/>
  <c r="AE22" i="5"/>
  <c r="M19" i="6"/>
  <c r="L21" i="12"/>
  <c r="K21" i="12" s="1"/>
  <c r="J21" i="12"/>
  <c r="FU12" i="6"/>
  <c r="FV13" i="6"/>
  <c r="AA13" i="6"/>
  <c r="BU12" i="6"/>
  <c r="BV13" i="6"/>
  <c r="C18" i="12"/>
  <c r="M18" i="12"/>
  <c r="O18" i="12"/>
  <c r="N18" i="12" s="1"/>
  <c r="AO18" i="12"/>
  <c r="M11" i="9"/>
  <c r="N12" i="9"/>
  <c r="BQ19" i="6"/>
  <c r="BP19" i="6"/>
  <c r="C18" i="6"/>
  <c r="D21" i="6"/>
  <c r="A21" i="6" s="1"/>
  <c r="M11" i="10"/>
  <c r="N12" i="10"/>
  <c r="K20" i="5"/>
  <c r="HA20" i="6"/>
  <c r="FT20" i="6"/>
  <c r="EJ20" i="6"/>
  <c r="EA20" i="6"/>
  <c r="FB20" i="6"/>
  <c r="G20" i="6"/>
  <c r="HH20" i="6"/>
  <c r="EV20" i="6"/>
  <c r="FJ20" i="6"/>
  <c r="DS20" i="6"/>
  <c r="EE20" i="6"/>
  <c r="GW20" i="6"/>
  <c r="HK20" i="6"/>
  <c r="H20" i="6"/>
  <c r="T20" i="5" s="1"/>
  <c r="HI20" i="6"/>
  <c r="EO20" i="6"/>
  <c r="DZ20" i="6"/>
  <c r="FY20" i="6"/>
  <c r="DP20" i="6"/>
  <c r="GD20" i="6"/>
  <c r="GE20" i="6"/>
  <c r="GR20" i="6"/>
  <c r="FP20" i="6"/>
  <c r="HG20" i="6"/>
  <c r="FW20" i="6"/>
  <c r="DY20" i="6"/>
  <c r="GN20" i="6"/>
  <c r="EF20" i="6"/>
  <c r="FQ20" i="6"/>
  <c r="GJ20" i="6"/>
  <c r="FI20" i="6"/>
  <c r="GY20" i="6"/>
  <c r="FX20" i="6"/>
  <c r="EP20" i="6"/>
  <c r="FZ20" i="6"/>
  <c r="ED20" i="6"/>
  <c r="HD20" i="6"/>
  <c r="EG20" i="6"/>
  <c r="FD20" i="6"/>
  <c r="ET20" i="6"/>
  <c r="EW20" i="6"/>
  <c r="EM20" i="6"/>
  <c r="GU20" i="6"/>
  <c r="GX20" i="6"/>
  <c r="FO20" i="6"/>
  <c r="FE20" i="6"/>
  <c r="EL20" i="6"/>
  <c r="EI20" i="6"/>
  <c r="DU20" i="6"/>
  <c r="GM20" i="6"/>
  <c r="GZ20" i="6"/>
  <c r="N20" i="6"/>
  <c r="HJ20" i="6"/>
  <c r="FL20" i="6"/>
  <c r="EC20" i="6"/>
  <c r="HE20" i="6"/>
  <c r="ES20" i="6"/>
  <c r="GS20" i="6"/>
  <c r="EN20" i="6"/>
  <c r="GI20" i="6"/>
  <c r="GF20" i="6"/>
  <c r="EB20" i="6"/>
  <c r="DX20" i="6"/>
  <c r="FU20" i="6"/>
  <c r="DV20" i="6"/>
  <c r="M20" i="6"/>
  <c r="BT20" i="6" s="1"/>
  <c r="HB20" i="6"/>
  <c r="EZ20" i="6"/>
  <c r="FS20" i="6"/>
  <c r="FF20" i="6"/>
  <c r="FN20" i="6"/>
  <c r="DW20" i="6"/>
  <c r="EH20" i="6"/>
  <c r="HF20" i="6"/>
  <c r="DT20" i="6"/>
  <c r="BU20" i="6"/>
  <c r="GB20" i="6"/>
  <c r="DQ20" i="6"/>
  <c r="GQ20" i="6"/>
  <c r="GC20" i="6"/>
  <c r="GV20" i="6"/>
  <c r="EU20" i="6"/>
  <c r="FR20" i="6"/>
  <c r="HC20" i="6"/>
  <c r="FH20" i="6"/>
  <c r="FV20" i="6"/>
  <c r="DR20" i="6"/>
  <c r="GO20" i="6"/>
  <c r="GT20" i="6"/>
  <c r="FC20" i="6"/>
  <c r="FA20" i="6"/>
  <c r="ER20" i="6"/>
  <c r="EQ20" i="6"/>
  <c r="GH20" i="6"/>
  <c r="FK20" i="6"/>
  <c r="EX20" i="6"/>
  <c r="GP20" i="6"/>
  <c r="GK20" i="6"/>
  <c r="FG20" i="6"/>
  <c r="GG20" i="6"/>
  <c r="GA20" i="6"/>
  <c r="DO20" i="6"/>
  <c r="EK20" i="6"/>
  <c r="EY20" i="6"/>
  <c r="GL20" i="6"/>
  <c r="BT14" i="6"/>
  <c r="BT16" i="6"/>
  <c r="BT17" i="6"/>
  <c r="BT18" i="6"/>
  <c r="DX13" i="6" l="1"/>
  <c r="DW14" i="6"/>
  <c r="DW12" i="6"/>
  <c r="DW18" i="6"/>
  <c r="Y18" i="12"/>
  <c r="X14" i="12"/>
  <c r="W14" i="12"/>
  <c r="BR20" i="6"/>
  <c r="BQ20" i="6"/>
  <c r="BS20" i="6"/>
  <c r="W18" i="12"/>
  <c r="X18" i="12"/>
  <c r="FV12" i="6"/>
  <c r="FW13" i="6"/>
  <c r="FV18" i="6"/>
  <c r="DP19" i="6"/>
  <c r="FR19" i="6"/>
  <c r="DR19" i="6"/>
  <c r="FU19" i="6"/>
  <c r="DX19" i="6"/>
  <c r="FS19" i="6"/>
  <c r="DQ19" i="6"/>
  <c r="FQ19" i="6"/>
  <c r="DO19" i="6"/>
  <c r="FW19" i="6"/>
  <c r="DV19" i="6"/>
  <c r="DS19" i="6"/>
  <c r="FP19" i="6"/>
  <c r="FV19" i="6"/>
  <c r="DT19" i="6"/>
  <c r="FN19" i="6"/>
  <c r="FO19" i="6"/>
  <c r="DW19" i="6"/>
  <c r="DU19" i="6"/>
  <c r="FT19" i="6"/>
  <c r="H23" i="5"/>
  <c r="B23" i="6"/>
  <c r="A23" i="12"/>
  <c r="B23" i="5"/>
  <c r="G23" i="5"/>
  <c r="J23" i="5"/>
  <c r="AE23" i="5"/>
  <c r="W23" i="5"/>
  <c r="D23" i="5"/>
  <c r="B23" i="12" s="1"/>
  <c r="F23" i="5"/>
  <c r="AD23" i="5"/>
  <c r="E23" i="5"/>
  <c r="C24" i="5"/>
  <c r="K23" i="5"/>
  <c r="R23" i="5"/>
  <c r="N23" i="5"/>
  <c r="BS19" i="6"/>
  <c r="BP20" i="6"/>
  <c r="O12" i="9"/>
  <c r="N11" i="9"/>
  <c r="BU16" i="6"/>
  <c r="BU14" i="6"/>
  <c r="BU17" i="6"/>
  <c r="BU18" i="6"/>
  <c r="BU19" i="6"/>
  <c r="C19" i="12"/>
  <c r="AO19" i="12"/>
  <c r="M19" i="12"/>
  <c r="O19" i="12"/>
  <c r="N11" i="10"/>
  <c r="O12" i="10"/>
  <c r="AB19" i="5"/>
  <c r="BW13" i="6"/>
  <c r="BV12" i="6"/>
  <c r="H21" i="6"/>
  <c r="T21" i="5" s="1"/>
  <c r="X21" i="5" s="1"/>
  <c r="BQ21" i="6"/>
  <c r="G21" i="6"/>
  <c r="DT21" i="6"/>
  <c r="FQ21" i="6"/>
  <c r="M21" i="6"/>
  <c r="FR21" i="6"/>
  <c r="FW21" i="6"/>
  <c r="N21" i="6"/>
  <c r="DO21" i="6"/>
  <c r="FT21" i="6"/>
  <c r="BR21" i="6"/>
  <c r="DW21" i="6"/>
  <c r="FP21" i="6"/>
  <c r="DS21" i="6"/>
  <c r="FS21" i="6"/>
  <c r="DU21" i="6"/>
  <c r="BT19" i="6"/>
  <c r="BR19" i="6"/>
  <c r="AB13" i="6"/>
  <c r="D22" i="6"/>
  <c r="C19" i="6"/>
  <c r="U14" i="12" l="1"/>
  <c r="V14" i="12"/>
  <c r="T14" i="12"/>
  <c r="BU21" i="6"/>
  <c r="BP21" i="6"/>
  <c r="BS21" i="6"/>
  <c r="N19" i="12"/>
  <c r="DX14" i="6"/>
  <c r="DX12" i="6"/>
  <c r="DY13" i="6"/>
  <c r="DX18" i="6"/>
  <c r="BV16" i="6"/>
  <c r="BV14" i="6"/>
  <c r="BV17" i="6"/>
  <c r="BV18" i="6"/>
  <c r="BV19" i="6"/>
  <c r="BV20" i="6"/>
  <c r="F23" i="6"/>
  <c r="E23" i="12"/>
  <c r="BW12" i="6"/>
  <c r="BW22" i="6" s="1"/>
  <c r="BX13" i="6"/>
  <c r="L23" i="12"/>
  <c r="J23" i="12"/>
  <c r="AC13" i="6"/>
  <c r="L21" i="5"/>
  <c r="I21" i="12"/>
  <c r="AM21" i="5"/>
  <c r="I21" i="5"/>
  <c r="Z21" i="5"/>
  <c r="AC21" i="5"/>
  <c r="H24" i="5"/>
  <c r="J24" i="5"/>
  <c r="B24" i="6"/>
  <c r="K24" i="5"/>
  <c r="N24" i="5"/>
  <c r="G24" i="5"/>
  <c r="A24" i="12"/>
  <c r="AE24" i="5"/>
  <c r="F24" i="5"/>
  <c r="E24" i="5"/>
  <c r="B24" i="5"/>
  <c r="C25" i="5" s="1"/>
  <c r="D24" i="5"/>
  <c r="B24" i="12" s="1"/>
  <c r="W24" i="5"/>
  <c r="AD24" i="5"/>
  <c r="GT22" i="6"/>
  <c r="HG22" i="6"/>
  <c r="GQ22" i="6"/>
  <c r="EB22" i="6"/>
  <c r="EL22" i="6"/>
  <c r="GP22" i="6"/>
  <c r="FB22" i="6"/>
  <c r="EZ22" i="6"/>
  <c r="GX22" i="6"/>
  <c r="GR22" i="6"/>
  <c r="ES22" i="6"/>
  <c r="DW22" i="6"/>
  <c r="DR22" i="6"/>
  <c r="DO22" i="6"/>
  <c r="EH22" i="6"/>
  <c r="GY22" i="6"/>
  <c r="DV22" i="6"/>
  <c r="GF22" i="6"/>
  <c r="FQ22" i="6"/>
  <c r="HB22" i="6"/>
  <c r="FV22" i="6"/>
  <c r="EK22" i="6"/>
  <c r="EP22" i="6"/>
  <c r="ER22" i="6"/>
  <c r="GI22" i="6"/>
  <c r="FN22" i="6"/>
  <c r="G22" i="6"/>
  <c r="FZ22" i="6"/>
  <c r="GG22" i="6"/>
  <c r="ED22" i="6"/>
  <c r="GL22" i="6"/>
  <c r="GE22" i="6"/>
  <c r="FD22" i="6"/>
  <c r="FO22" i="6"/>
  <c r="EC22" i="6"/>
  <c r="EU22" i="6"/>
  <c r="HF22" i="6"/>
  <c r="EO22" i="6"/>
  <c r="EM22" i="6"/>
  <c r="HJ22" i="6"/>
  <c r="HC22" i="6"/>
  <c r="EG22" i="6"/>
  <c r="FC22" i="6"/>
  <c r="HA22" i="6"/>
  <c r="HH22" i="6"/>
  <c r="DQ22" i="6"/>
  <c r="GW22" i="6"/>
  <c r="DS22" i="6"/>
  <c r="GK22" i="6"/>
  <c r="M22" i="6"/>
  <c r="EF22" i="6"/>
  <c r="GD22" i="6"/>
  <c r="GB22" i="6"/>
  <c r="EV22" i="6"/>
  <c r="HK22" i="6"/>
  <c r="GS22" i="6"/>
  <c r="DY22" i="6"/>
  <c r="GM22" i="6"/>
  <c r="FH22" i="6"/>
  <c r="N22" i="6"/>
  <c r="GN22" i="6"/>
  <c r="GC22" i="6"/>
  <c r="HD22" i="6"/>
  <c r="GZ22" i="6"/>
  <c r="FW22" i="6"/>
  <c r="FJ22" i="6"/>
  <c r="FG22" i="6"/>
  <c r="FF22" i="6"/>
  <c r="GV22" i="6"/>
  <c r="DP22" i="6"/>
  <c r="GU22" i="6"/>
  <c r="FY22" i="6"/>
  <c r="GH22" i="6"/>
  <c r="EQ22" i="6"/>
  <c r="DZ22" i="6"/>
  <c r="BV22" i="6"/>
  <c r="FT22" i="6"/>
  <c r="FE22" i="6"/>
  <c r="FU22" i="6"/>
  <c r="FI22" i="6"/>
  <c r="FR22" i="6"/>
  <c r="H22" i="6"/>
  <c r="T22" i="5" s="1"/>
  <c r="EW22" i="6"/>
  <c r="FA22" i="6"/>
  <c r="BU22" i="6"/>
  <c r="FP22" i="6"/>
  <c r="ET22" i="6"/>
  <c r="DT22" i="6"/>
  <c r="FS22" i="6"/>
  <c r="DU22" i="6"/>
  <c r="HE22" i="6"/>
  <c r="BQ22" i="6"/>
  <c r="EY22" i="6"/>
  <c r="DX22" i="6"/>
  <c r="GA22" i="6"/>
  <c r="FL22" i="6"/>
  <c r="EI22" i="6"/>
  <c r="EE22" i="6"/>
  <c r="EA22" i="6"/>
  <c r="EN22" i="6"/>
  <c r="BP22" i="6"/>
  <c r="EJ22" i="6"/>
  <c r="HI22" i="6"/>
  <c r="GJ22" i="6"/>
  <c r="EX22" i="6"/>
  <c r="FK22" i="6"/>
  <c r="GO22" i="6"/>
  <c r="FX22" i="6"/>
  <c r="FV21" i="6"/>
  <c r="DX21" i="6"/>
  <c r="FO21" i="6"/>
  <c r="FU21" i="6"/>
  <c r="BT21" i="6"/>
  <c r="DY21" i="6"/>
  <c r="DV21" i="6"/>
  <c r="DR21" i="6"/>
  <c r="FN21" i="6"/>
  <c r="P12" i="10"/>
  <c r="O11" i="10"/>
  <c r="Y19" i="12"/>
  <c r="D23" i="6"/>
  <c r="A23" i="6" s="1"/>
  <c r="FX13" i="6"/>
  <c r="FW12" i="6"/>
  <c r="FW18" i="6"/>
  <c r="BV21" i="6"/>
  <c r="DQ21" i="6"/>
  <c r="DP21" i="6"/>
  <c r="O11" i="9"/>
  <c r="P12" i="9"/>
  <c r="U18" i="12"/>
  <c r="V18" i="12"/>
  <c r="T18" i="12"/>
  <c r="DZ13" i="6" l="1"/>
  <c r="DY14" i="6"/>
  <c r="DY12" i="6"/>
  <c r="DY18" i="6"/>
  <c r="DY19" i="6"/>
  <c r="F25" i="5"/>
  <c r="AE25" i="5"/>
  <c r="W25" i="5"/>
  <c r="G25" i="5"/>
  <c r="C26" i="5"/>
  <c r="I25" i="5"/>
  <c r="A25" i="12"/>
  <c r="B25" i="6"/>
  <c r="A25" i="6" s="1"/>
  <c r="E25" i="5"/>
  <c r="AD25" i="5"/>
  <c r="N25" i="5"/>
  <c r="B25" i="5"/>
  <c r="H25" i="5"/>
  <c r="P11" i="9"/>
  <c r="Q12" i="9"/>
  <c r="FY13" i="6"/>
  <c r="FX12" i="6"/>
  <c r="FX18" i="6"/>
  <c r="FX19" i="6"/>
  <c r="FX21" i="6"/>
  <c r="BS22" i="6"/>
  <c r="J24" i="12"/>
  <c r="L24" i="12"/>
  <c r="K24" i="12" s="1"/>
  <c r="D24" i="6"/>
  <c r="A24" i="6" s="1"/>
  <c r="C21" i="12"/>
  <c r="O21" i="12"/>
  <c r="M21" i="12"/>
  <c r="AO21" i="12"/>
  <c r="K23" i="12"/>
  <c r="BX12" i="6"/>
  <c r="BY13" i="6"/>
  <c r="X19" i="12"/>
  <c r="W19" i="12"/>
  <c r="AD13" i="6"/>
  <c r="N23" i="6"/>
  <c r="M23" i="6"/>
  <c r="DS23" i="6" s="1"/>
  <c r="FV23" i="6"/>
  <c r="FS23" i="6"/>
  <c r="G23" i="6"/>
  <c r="FW23" i="6"/>
  <c r="H23" i="6"/>
  <c r="T23" i="5" s="1"/>
  <c r="X23" i="5" s="1"/>
  <c r="BP23" i="6"/>
  <c r="DZ23" i="6"/>
  <c r="DQ23" i="6"/>
  <c r="DU23" i="6"/>
  <c r="P11" i="10"/>
  <c r="Q12" i="10"/>
  <c r="BT22" i="6"/>
  <c r="BR22" i="6"/>
  <c r="AB21" i="5"/>
  <c r="C21" i="6"/>
  <c r="K22" i="5"/>
  <c r="BW14" i="6"/>
  <c r="BW16" i="6"/>
  <c r="BW17" i="6"/>
  <c r="BW18" i="6"/>
  <c r="BW19" i="6"/>
  <c r="BW20" i="6"/>
  <c r="BW21" i="6"/>
  <c r="N21" i="12" l="1"/>
  <c r="BR23" i="6"/>
  <c r="FX23" i="6"/>
  <c r="DX23" i="6"/>
  <c r="DZ12" i="6"/>
  <c r="EA13" i="6"/>
  <c r="DZ14" i="6"/>
  <c r="DZ18" i="6"/>
  <c r="DZ19" i="6"/>
  <c r="DZ21" i="6"/>
  <c r="Q11" i="10"/>
  <c r="R12" i="10"/>
  <c r="R12" i="9"/>
  <c r="Q11" i="9"/>
  <c r="D25" i="6"/>
  <c r="FP23" i="6"/>
  <c r="FY23" i="6"/>
  <c r="BW23" i="6"/>
  <c r="FN23" i="6"/>
  <c r="FQ23" i="6"/>
  <c r="FU23" i="6"/>
  <c r="BU23" i="6"/>
  <c r="DP23" i="6"/>
  <c r="FO23" i="6"/>
  <c r="BT23" i="6"/>
  <c r="BQ23" i="6"/>
  <c r="Y21" i="12"/>
  <c r="BX16" i="6"/>
  <c r="BX14" i="6"/>
  <c r="BX17" i="6"/>
  <c r="BX18" i="6"/>
  <c r="BX19" i="6"/>
  <c r="BX20" i="6"/>
  <c r="BX21" i="6"/>
  <c r="BX22" i="6"/>
  <c r="L23" i="5"/>
  <c r="I23" i="12"/>
  <c r="AM23" i="5"/>
  <c r="Z23" i="5"/>
  <c r="I23" i="5"/>
  <c r="AC23" i="5"/>
  <c r="DY23" i="6"/>
  <c r="DT23" i="6"/>
  <c r="EA23" i="6"/>
  <c r="BV23" i="6"/>
  <c r="AE13" i="6"/>
  <c r="BS23" i="6"/>
  <c r="BX23" i="6"/>
  <c r="DO23" i="6"/>
  <c r="DV23" i="6"/>
  <c r="DR23" i="6"/>
  <c r="DW23" i="6"/>
  <c r="FR23" i="6"/>
  <c r="FT23" i="6"/>
  <c r="T19" i="12"/>
  <c r="V19" i="12"/>
  <c r="U19" i="12"/>
  <c r="BZ13" i="6"/>
  <c r="BY12" i="6"/>
  <c r="M24" i="6"/>
  <c r="FS24" i="6" s="1"/>
  <c r="FW24" i="6"/>
  <c r="FX24" i="6"/>
  <c r="DP24" i="6"/>
  <c r="G24" i="6"/>
  <c r="DX24" i="6"/>
  <c r="FN24" i="6"/>
  <c r="FU24" i="6"/>
  <c r="FQ24" i="6"/>
  <c r="DT24" i="6"/>
  <c r="FY24" i="6"/>
  <c r="DS24" i="6"/>
  <c r="DU24" i="6"/>
  <c r="FP24" i="6"/>
  <c r="FT24" i="6"/>
  <c r="FO24" i="6"/>
  <c r="DZ24" i="6"/>
  <c r="EA24" i="6"/>
  <c r="N24" i="6"/>
  <c r="FR24" i="6"/>
  <c r="H24" i="6"/>
  <c r="T24" i="5" s="1"/>
  <c r="X24" i="5" s="1"/>
  <c r="FV24" i="6"/>
  <c r="DY24" i="6"/>
  <c r="DW24" i="6"/>
  <c r="DQ24" i="6"/>
  <c r="FY12" i="6"/>
  <c r="FZ13" i="6"/>
  <c r="FY18" i="6"/>
  <c r="FY19" i="6"/>
  <c r="FY21" i="6"/>
  <c r="W26" i="5"/>
  <c r="F26" i="5"/>
  <c r="H26" i="5"/>
  <c r="R26" i="5"/>
  <c r="AE26" i="5"/>
  <c r="G26" i="5"/>
  <c r="B26" i="6"/>
  <c r="K26" i="5"/>
  <c r="J26" i="5"/>
  <c r="C27" i="5"/>
  <c r="E26" i="5"/>
  <c r="A26" i="12"/>
  <c r="AD26" i="5"/>
  <c r="B26" i="5"/>
  <c r="N26" i="5"/>
  <c r="D26" i="5"/>
  <c r="B26" i="12" s="1"/>
  <c r="EA18" i="6" l="1"/>
  <c r="EA12" i="6"/>
  <c r="EB13" i="6"/>
  <c r="EA14" i="6"/>
  <c r="EA19" i="6"/>
  <c r="EA21" i="6"/>
  <c r="E26" i="12"/>
  <c r="F26" i="6"/>
  <c r="BW24" i="6"/>
  <c r="BQ24" i="6"/>
  <c r="D26" i="6"/>
  <c r="R11" i="10"/>
  <c r="S12" i="10"/>
  <c r="H27" i="5"/>
  <c r="G27" i="5"/>
  <c r="AE27" i="5"/>
  <c r="K27" i="5"/>
  <c r="N27" i="5"/>
  <c r="R27" i="5"/>
  <c r="A27" i="12"/>
  <c r="AD27" i="5"/>
  <c r="D27" i="5"/>
  <c r="B27" i="12" s="1"/>
  <c r="B27" i="6"/>
  <c r="E27" i="5"/>
  <c r="F27" i="5"/>
  <c r="W27" i="5"/>
  <c r="J27" i="5"/>
  <c r="B27" i="5"/>
  <c r="C28" i="5" s="1"/>
  <c r="FZ12" i="6"/>
  <c r="GA13" i="6"/>
  <c r="FZ18" i="6"/>
  <c r="FZ19" i="6"/>
  <c r="FZ21" i="6"/>
  <c r="FZ23" i="6"/>
  <c r="DR24" i="6"/>
  <c r="BV24" i="6"/>
  <c r="EB24" i="6"/>
  <c r="DO24" i="6"/>
  <c r="FZ24" i="6"/>
  <c r="BS24" i="6"/>
  <c r="DV24" i="6"/>
  <c r="BU24" i="6"/>
  <c r="BY14" i="6"/>
  <c r="BY16" i="6"/>
  <c r="BY17" i="6"/>
  <c r="BY18" i="6"/>
  <c r="BY19" i="6"/>
  <c r="BY20" i="6"/>
  <c r="BY21" i="6"/>
  <c r="BY22" i="6"/>
  <c r="BY23" i="6"/>
  <c r="AF13" i="6"/>
  <c r="C23" i="6"/>
  <c r="X21" i="12"/>
  <c r="W21" i="12"/>
  <c r="FV25" i="6"/>
  <c r="N25" i="6"/>
  <c r="H25" i="6"/>
  <c r="T25" i="5" s="1"/>
  <c r="GL25" i="6"/>
  <c r="FW25" i="6"/>
  <c r="ES25" i="6"/>
  <c r="DP25" i="6"/>
  <c r="GV25" i="6"/>
  <c r="EQ25" i="6"/>
  <c r="EW25" i="6"/>
  <c r="FG25" i="6"/>
  <c r="EM25" i="6"/>
  <c r="DX25" i="6"/>
  <c r="DV25" i="6"/>
  <c r="FX25" i="6"/>
  <c r="GW25" i="6"/>
  <c r="DY25" i="6"/>
  <c r="HD25" i="6"/>
  <c r="FH25" i="6"/>
  <c r="G25" i="6"/>
  <c r="GN25" i="6"/>
  <c r="GY25" i="6"/>
  <c r="EC25" i="6"/>
  <c r="DR25" i="6"/>
  <c r="GJ25" i="6"/>
  <c r="GR25" i="6"/>
  <c r="HH25" i="6"/>
  <c r="BQ25" i="6"/>
  <c r="GF25" i="6"/>
  <c r="EO25" i="6"/>
  <c r="EP25" i="6"/>
  <c r="EL25" i="6"/>
  <c r="EY25" i="6"/>
  <c r="FY25" i="6"/>
  <c r="ET25" i="6"/>
  <c r="ED25" i="6"/>
  <c r="EN25" i="6"/>
  <c r="EJ25" i="6"/>
  <c r="EF25" i="6"/>
  <c r="EG25" i="6"/>
  <c r="HG25" i="6"/>
  <c r="FR25" i="6"/>
  <c r="HA25" i="6"/>
  <c r="GI25" i="6"/>
  <c r="FB25" i="6"/>
  <c r="EA25" i="6"/>
  <c r="GB25" i="6"/>
  <c r="DQ25" i="6"/>
  <c r="GH25" i="6"/>
  <c r="HK25" i="6"/>
  <c r="DS25" i="6"/>
  <c r="EK25" i="6"/>
  <c r="GZ25" i="6"/>
  <c r="BT25" i="6"/>
  <c r="BV25" i="6"/>
  <c r="GE25" i="6"/>
  <c r="HB25" i="6"/>
  <c r="FL25" i="6"/>
  <c r="EH25" i="6"/>
  <c r="DW25" i="6"/>
  <c r="EV25" i="6"/>
  <c r="DZ25" i="6"/>
  <c r="EB25" i="6"/>
  <c r="FT25" i="6"/>
  <c r="FK25" i="6"/>
  <c r="FI25" i="6"/>
  <c r="GD25" i="6"/>
  <c r="GG25" i="6"/>
  <c r="FJ25" i="6"/>
  <c r="GQ25" i="6"/>
  <c r="FE25" i="6"/>
  <c r="M25" i="6"/>
  <c r="BU25" i="6" s="1"/>
  <c r="GP25" i="6"/>
  <c r="FS25" i="6"/>
  <c r="EU25" i="6"/>
  <c r="EX25" i="6"/>
  <c r="GC25" i="6"/>
  <c r="HC25" i="6"/>
  <c r="FA25" i="6"/>
  <c r="DU25" i="6"/>
  <c r="EZ25" i="6"/>
  <c r="BX25" i="6"/>
  <c r="ER25" i="6"/>
  <c r="HI25" i="6"/>
  <c r="GX25" i="6"/>
  <c r="FC25" i="6"/>
  <c r="DT25" i="6"/>
  <c r="GA25" i="6"/>
  <c r="DO25" i="6"/>
  <c r="GU25" i="6"/>
  <c r="FU25" i="6"/>
  <c r="FN25" i="6"/>
  <c r="GO25" i="6"/>
  <c r="FP25" i="6"/>
  <c r="GK25" i="6"/>
  <c r="FF25" i="6"/>
  <c r="GM25" i="6"/>
  <c r="EE25" i="6"/>
  <c r="GT25" i="6"/>
  <c r="FQ25" i="6"/>
  <c r="EI25" i="6"/>
  <c r="FD25" i="6"/>
  <c r="FO25" i="6"/>
  <c r="FZ25" i="6"/>
  <c r="HF25" i="6"/>
  <c r="GS25" i="6"/>
  <c r="HJ25" i="6"/>
  <c r="HE25" i="6"/>
  <c r="A26" i="6"/>
  <c r="I24" i="12"/>
  <c r="L24" i="5"/>
  <c r="AM24" i="5"/>
  <c r="I24" i="5"/>
  <c r="Z24" i="5"/>
  <c r="AC24" i="5"/>
  <c r="BZ12" i="6"/>
  <c r="CA13" i="6"/>
  <c r="AB23" i="5"/>
  <c r="S12" i="9"/>
  <c r="R11" i="9"/>
  <c r="L26" i="12"/>
  <c r="K26" i="12" s="1"/>
  <c r="J26" i="12"/>
  <c r="BR24" i="6"/>
  <c r="BX24" i="6"/>
  <c r="BT24" i="6"/>
  <c r="BP24" i="6"/>
  <c r="BY24" i="6"/>
  <c r="C23" i="12"/>
  <c r="AO23" i="12"/>
  <c r="O23" i="12"/>
  <c r="M23" i="12"/>
  <c r="EB12" i="6" l="1"/>
  <c r="EB14" i="6"/>
  <c r="EB21" i="6"/>
  <c r="EB18" i="6"/>
  <c r="EC13" i="6"/>
  <c r="EB19" i="6"/>
  <c r="EB23" i="6"/>
  <c r="N23" i="12"/>
  <c r="BY25" i="6"/>
  <c r="N28" i="5"/>
  <c r="C29" i="5"/>
  <c r="H28" i="5"/>
  <c r="I28" i="5"/>
  <c r="E28" i="5"/>
  <c r="AD28" i="5"/>
  <c r="B28" i="6"/>
  <c r="A28" i="6" s="1"/>
  <c r="G28" i="5"/>
  <c r="F28" i="5"/>
  <c r="B28" i="5"/>
  <c r="A28" i="12"/>
  <c r="AE28" i="5"/>
  <c r="W28" i="5"/>
  <c r="BZ14" i="6"/>
  <c r="BZ16" i="6"/>
  <c r="BZ17" i="6"/>
  <c r="BZ18" i="6"/>
  <c r="BZ19" i="6"/>
  <c r="BZ20" i="6"/>
  <c r="BZ21" i="6"/>
  <c r="BZ22" i="6"/>
  <c r="BZ23" i="6"/>
  <c r="BZ24" i="6"/>
  <c r="Y23" i="12"/>
  <c r="AB24" i="5"/>
  <c r="C24" i="12"/>
  <c r="O24" i="12"/>
  <c r="M24" i="12"/>
  <c r="AO24" i="12"/>
  <c r="BP25" i="6"/>
  <c r="BW25" i="6"/>
  <c r="BR25" i="6"/>
  <c r="V21" i="12"/>
  <c r="U21" i="12"/>
  <c r="T21" i="12"/>
  <c r="E27" i="12"/>
  <c r="F27" i="6"/>
  <c r="G26" i="6"/>
  <c r="M26" i="6"/>
  <c r="DQ26" i="6" s="1"/>
  <c r="FV26" i="6"/>
  <c r="N26" i="6"/>
  <c r="BT26" i="6"/>
  <c r="DW26" i="6"/>
  <c r="H26" i="6"/>
  <c r="T26" i="5" s="1"/>
  <c r="X26" i="5" s="1"/>
  <c r="BZ25" i="6"/>
  <c r="C24" i="6"/>
  <c r="T12" i="9"/>
  <c r="S11" i="9"/>
  <c r="CB13" i="6"/>
  <c r="CA12" i="6"/>
  <c r="BS25" i="6"/>
  <c r="AG13" i="6"/>
  <c r="GB13" i="6"/>
  <c r="GA12" i="6"/>
  <c r="GA18" i="6"/>
  <c r="GA21" i="6"/>
  <c r="GA19" i="6"/>
  <c r="GA23" i="6"/>
  <c r="GA24" i="6"/>
  <c r="J27" i="12"/>
  <c r="L27" i="12"/>
  <c r="D27" i="6"/>
  <c r="A27" i="6" s="1"/>
  <c r="T12" i="10"/>
  <c r="S11" i="10"/>
  <c r="BW26" i="6" l="1"/>
  <c r="DZ26" i="6"/>
  <c r="DU26" i="6"/>
  <c r="BU26" i="6"/>
  <c r="BZ26" i="6"/>
  <c r="Y24" i="12"/>
  <c r="K27" i="12"/>
  <c r="BQ26" i="6"/>
  <c r="DY26" i="6"/>
  <c r="FR26" i="6"/>
  <c r="EC19" i="6"/>
  <c r="EC21" i="6"/>
  <c r="EC14" i="6"/>
  <c r="EC18" i="6"/>
  <c r="ED13" i="6"/>
  <c r="EC12" i="6"/>
  <c r="EC23" i="6"/>
  <c r="EC24" i="6"/>
  <c r="GC13" i="6"/>
  <c r="GB12" i="6"/>
  <c r="GB18" i="6"/>
  <c r="GB21" i="6"/>
  <c r="GB19" i="6"/>
  <c r="GB23" i="6"/>
  <c r="GB24" i="6"/>
  <c r="B29" i="5"/>
  <c r="J29" i="5"/>
  <c r="F29" i="5"/>
  <c r="N29" i="5"/>
  <c r="W29" i="5"/>
  <c r="C30" i="5"/>
  <c r="E29" i="5"/>
  <c r="G29" i="5"/>
  <c r="K29" i="5"/>
  <c r="AE29" i="5"/>
  <c r="AD29" i="5"/>
  <c r="B29" i="6"/>
  <c r="D29" i="5"/>
  <c r="B29" i="12" s="1"/>
  <c r="A29" i="12"/>
  <c r="H29" i="5"/>
  <c r="CA16" i="6"/>
  <c r="CA14" i="6"/>
  <c r="CA17" i="6"/>
  <c r="CA18" i="6"/>
  <c r="CA19" i="6"/>
  <c r="CA20" i="6"/>
  <c r="CA21" i="6"/>
  <c r="CA22" i="6"/>
  <c r="CA23" i="6"/>
  <c r="CA24" i="6"/>
  <c r="CA25" i="6"/>
  <c r="FS26" i="6"/>
  <c r="BR26" i="6"/>
  <c r="FU26" i="6"/>
  <c r="DV26" i="6"/>
  <c r="BP26" i="6"/>
  <c r="FZ26" i="6"/>
  <c r="BV26" i="6"/>
  <c r="EA26" i="6"/>
  <c r="GB26" i="6"/>
  <c r="DT26" i="6"/>
  <c r="FX26" i="6"/>
  <c r="N24" i="12"/>
  <c r="X23" i="12"/>
  <c r="W23" i="12"/>
  <c r="K25" i="5"/>
  <c r="D28" i="6"/>
  <c r="X24" i="12"/>
  <c r="W24" i="12"/>
  <c r="M27" i="6"/>
  <c r="DU27" i="6" s="1"/>
  <c r="FT27" i="6"/>
  <c r="N27" i="6"/>
  <c r="H27" i="6"/>
  <c r="T27" i="5" s="1"/>
  <c r="X27" i="5" s="1"/>
  <c r="G27" i="6"/>
  <c r="T11" i="9"/>
  <c r="U12" i="9"/>
  <c r="FP26" i="6"/>
  <c r="BY26" i="6"/>
  <c r="FN26" i="6"/>
  <c r="EB26" i="6"/>
  <c r="FQ26" i="6"/>
  <c r="FT26" i="6"/>
  <c r="BX26" i="6"/>
  <c r="FW26" i="6"/>
  <c r="T11" i="10"/>
  <c r="U12" i="10"/>
  <c r="AH13" i="6"/>
  <c r="CC13" i="6"/>
  <c r="CB12" i="6"/>
  <c r="CB27" i="6" s="1"/>
  <c r="DO26" i="6"/>
  <c r="I26" i="12"/>
  <c r="L26" i="5"/>
  <c r="AM26" i="5"/>
  <c r="Z26" i="5"/>
  <c r="I26" i="5"/>
  <c r="AC26" i="5"/>
  <c r="BS26" i="6"/>
  <c r="EC26" i="6"/>
  <c r="GA26" i="6"/>
  <c r="DP26" i="6"/>
  <c r="DX26" i="6"/>
  <c r="DS26" i="6"/>
  <c r="GC26" i="6"/>
  <c r="FY26" i="6"/>
  <c r="FO26" i="6"/>
  <c r="DR26" i="6"/>
  <c r="CA26" i="6"/>
  <c r="ED18" i="6" l="1"/>
  <c r="EE13" i="6"/>
  <c r="ED19" i="6"/>
  <c r="ED14" i="6"/>
  <c r="ED12" i="6"/>
  <c r="ED21" i="6"/>
  <c r="ED23" i="6"/>
  <c r="ED24" i="6"/>
  <c r="DS27" i="6"/>
  <c r="DX27" i="6"/>
  <c r="FU27" i="6"/>
  <c r="DO27" i="6"/>
  <c r="ED26" i="6"/>
  <c r="C26" i="6"/>
  <c r="AM27" i="5"/>
  <c r="L27" i="5"/>
  <c r="I27" i="12"/>
  <c r="Z27" i="5"/>
  <c r="I27" i="5"/>
  <c r="AC27" i="5"/>
  <c r="BQ27" i="6"/>
  <c r="BY27" i="6"/>
  <c r="EO28" i="6"/>
  <c r="GU28" i="6"/>
  <c r="GO28" i="6"/>
  <c r="FB28" i="6"/>
  <c r="FY28" i="6"/>
  <c r="GV28" i="6"/>
  <c r="EY28" i="6"/>
  <c r="DW28" i="6"/>
  <c r="GW28" i="6"/>
  <c r="DP28" i="6"/>
  <c r="EN28" i="6"/>
  <c r="EB28" i="6"/>
  <c r="DQ28" i="6"/>
  <c r="FU28" i="6"/>
  <c r="EJ28" i="6"/>
  <c r="EV28" i="6"/>
  <c r="FN28" i="6"/>
  <c r="HI28" i="6"/>
  <c r="FJ28" i="6"/>
  <c r="FZ28" i="6"/>
  <c r="EF28" i="6"/>
  <c r="H28" i="6"/>
  <c r="T28" i="5" s="1"/>
  <c r="GT28" i="6"/>
  <c r="GG28" i="6"/>
  <c r="HD28" i="6"/>
  <c r="GN28" i="6"/>
  <c r="DO28" i="6"/>
  <c r="DY28" i="6"/>
  <c r="GH28" i="6"/>
  <c r="EE28" i="6"/>
  <c r="GY28" i="6"/>
  <c r="FK28" i="6"/>
  <c r="EU28" i="6"/>
  <c r="GF28" i="6"/>
  <c r="DT28" i="6"/>
  <c r="EZ28" i="6"/>
  <c r="GZ28" i="6"/>
  <c r="GJ28" i="6"/>
  <c r="HG28" i="6"/>
  <c r="ED28" i="6"/>
  <c r="GE28" i="6"/>
  <c r="FW28" i="6"/>
  <c r="GS28" i="6"/>
  <c r="GA28" i="6"/>
  <c r="FO28" i="6"/>
  <c r="EQ28" i="6"/>
  <c r="DX28" i="6"/>
  <c r="FI28" i="6"/>
  <c r="GD28" i="6"/>
  <c r="ES28" i="6"/>
  <c r="GX28" i="6"/>
  <c r="FC28" i="6"/>
  <c r="FA28" i="6"/>
  <c r="ET28" i="6"/>
  <c r="EM28" i="6"/>
  <c r="FL28" i="6"/>
  <c r="FP28" i="6"/>
  <c r="GK28" i="6"/>
  <c r="HH28" i="6"/>
  <c r="GM28" i="6"/>
  <c r="HF28" i="6"/>
  <c r="HJ28" i="6"/>
  <c r="FT28" i="6"/>
  <c r="FR28" i="6"/>
  <c r="G28" i="6"/>
  <c r="FH28" i="6"/>
  <c r="HK28" i="6"/>
  <c r="HC28" i="6"/>
  <c r="EL28" i="6"/>
  <c r="EI28" i="6"/>
  <c r="FG28" i="6"/>
  <c r="EP28" i="6"/>
  <c r="FS28" i="6"/>
  <c r="EA28" i="6"/>
  <c r="FD28" i="6"/>
  <c r="ER28" i="6"/>
  <c r="DV28" i="6"/>
  <c r="HA28" i="6"/>
  <c r="EW28" i="6"/>
  <c r="DZ28" i="6"/>
  <c r="GI28" i="6"/>
  <c r="EX28" i="6"/>
  <c r="FQ28" i="6"/>
  <c r="HB28" i="6"/>
  <c r="FF28" i="6"/>
  <c r="GC28" i="6"/>
  <c r="DR28" i="6"/>
  <c r="EH28" i="6"/>
  <c r="FX28" i="6"/>
  <c r="HE28" i="6"/>
  <c r="GP28" i="6"/>
  <c r="FV28" i="6"/>
  <c r="EC28" i="6"/>
  <c r="DU28" i="6"/>
  <c r="GQ28" i="6"/>
  <c r="GR28" i="6"/>
  <c r="GB28" i="6"/>
  <c r="DS28" i="6"/>
  <c r="GL28" i="6"/>
  <c r="EG28" i="6"/>
  <c r="EK28" i="6"/>
  <c r="N28" i="6"/>
  <c r="FE28" i="6"/>
  <c r="M28" i="6"/>
  <c r="BU28" i="6" s="1"/>
  <c r="D29" i="6"/>
  <c r="C26" i="12"/>
  <c r="O26" i="12"/>
  <c r="AO26" i="12"/>
  <c r="Y26" i="12" s="1"/>
  <c r="M26" i="12"/>
  <c r="AI13" i="6"/>
  <c r="U11" i="9"/>
  <c r="V12" i="9"/>
  <c r="EC27" i="6"/>
  <c r="FV27" i="6"/>
  <c r="FS27" i="6"/>
  <c r="EE27" i="6"/>
  <c r="BW27" i="6"/>
  <c r="FX27" i="6"/>
  <c r="GB27" i="6"/>
  <c r="BZ27" i="6"/>
  <c r="ED27" i="6"/>
  <c r="DT27" i="6"/>
  <c r="BX27" i="6"/>
  <c r="BT27" i="6"/>
  <c r="BV27" i="6"/>
  <c r="U24" i="12"/>
  <c r="V24" i="12"/>
  <c r="T24" i="12"/>
  <c r="U23" i="12"/>
  <c r="T23" i="12"/>
  <c r="V23" i="12"/>
  <c r="A29" i="6"/>
  <c r="AB26" i="5"/>
  <c r="FO27" i="6"/>
  <c r="BR27" i="6"/>
  <c r="GA27" i="6"/>
  <c r="FY27" i="6"/>
  <c r="DR27" i="6"/>
  <c r="FN27" i="6"/>
  <c r="CA27" i="6"/>
  <c r="DW27" i="6"/>
  <c r="FZ27" i="6"/>
  <c r="EA27" i="6"/>
  <c r="FW27" i="6"/>
  <c r="DQ27" i="6"/>
  <c r="BP27" i="6"/>
  <c r="DV27" i="6"/>
  <c r="L29" i="12"/>
  <c r="J29" i="12"/>
  <c r="K30" i="5"/>
  <c r="J30" i="5"/>
  <c r="B30" i="5"/>
  <c r="AD30" i="5"/>
  <c r="G30" i="5"/>
  <c r="A30" i="12"/>
  <c r="H30" i="5"/>
  <c r="W30" i="5"/>
  <c r="N30" i="5"/>
  <c r="B30" i="6"/>
  <c r="AE30" i="5"/>
  <c r="F30" i="5"/>
  <c r="E30" i="5"/>
  <c r="C31" i="5"/>
  <c r="D30" i="5"/>
  <c r="B30" i="12" s="1"/>
  <c r="CB14" i="6"/>
  <c r="CB16" i="6"/>
  <c r="CB17" i="6"/>
  <c r="CB18" i="6"/>
  <c r="CB19" i="6"/>
  <c r="CB20" i="6"/>
  <c r="CB21" i="6"/>
  <c r="CB22" i="6"/>
  <c r="CB23" i="6"/>
  <c r="CB24" i="6"/>
  <c r="CB25" i="6"/>
  <c r="CB26" i="6"/>
  <c r="U11" i="10"/>
  <c r="V12" i="10"/>
  <c r="CD13" i="6"/>
  <c r="CC12" i="6"/>
  <c r="GC27" i="6"/>
  <c r="EB27" i="6"/>
  <c r="DP27" i="6"/>
  <c r="BU27" i="6"/>
  <c r="DY27" i="6"/>
  <c r="BS27" i="6"/>
  <c r="DZ27" i="6"/>
  <c r="FP27" i="6"/>
  <c r="FQ27" i="6"/>
  <c r="FR27" i="6"/>
  <c r="GC12" i="6"/>
  <c r="GD13" i="6"/>
  <c r="GC18" i="6"/>
  <c r="GC21" i="6"/>
  <c r="GC19" i="6"/>
  <c r="GC23" i="6"/>
  <c r="GC24" i="6"/>
  <c r="BV28" i="6" l="1"/>
  <c r="CA28" i="6"/>
  <c r="BZ28" i="6"/>
  <c r="CB28" i="6"/>
  <c r="BQ28" i="6"/>
  <c r="BW28" i="6"/>
  <c r="BP28" i="6"/>
  <c r="EE23" i="6"/>
  <c r="EE14" i="6"/>
  <c r="EE24" i="6"/>
  <c r="EE18" i="6"/>
  <c r="EF13" i="6"/>
  <c r="EE19" i="6"/>
  <c r="EE12" i="6"/>
  <c r="EE21" i="6"/>
  <c r="EE26" i="6"/>
  <c r="CC28" i="6"/>
  <c r="BR28" i="6"/>
  <c r="BT28" i="6"/>
  <c r="AB27" i="5"/>
  <c r="CD12" i="6"/>
  <c r="CE13" i="6"/>
  <c r="L30" i="12"/>
  <c r="J30" i="12"/>
  <c r="W26" i="12"/>
  <c r="X26" i="12"/>
  <c r="M29" i="6"/>
  <c r="FS29" i="6" s="1"/>
  <c r="G29" i="6"/>
  <c r="H29" i="6"/>
  <c r="T29" i="5" s="1"/>
  <c r="X29" i="5" s="1"/>
  <c r="N29" i="6"/>
  <c r="DX29" i="6"/>
  <c r="DP29" i="6"/>
  <c r="DZ29" i="6"/>
  <c r="DY29" i="6"/>
  <c r="GC29" i="6"/>
  <c r="EF29" i="6"/>
  <c r="C27" i="12"/>
  <c r="AO27" i="12"/>
  <c r="M27" i="12"/>
  <c r="O27" i="12"/>
  <c r="N27" i="12" s="1"/>
  <c r="GE13" i="6"/>
  <c r="GD12" i="6"/>
  <c r="GD18" i="6"/>
  <c r="GD19" i="6"/>
  <c r="GD21" i="6"/>
  <c r="GD23" i="6"/>
  <c r="GD24" i="6"/>
  <c r="GD26" i="6"/>
  <c r="W12" i="10"/>
  <c r="V11" i="10"/>
  <c r="B31" i="5"/>
  <c r="F31" i="5"/>
  <c r="J31" i="5"/>
  <c r="W31" i="5"/>
  <c r="H31" i="5"/>
  <c r="K31" i="5"/>
  <c r="AD31" i="5"/>
  <c r="AE31" i="5"/>
  <c r="G31" i="5"/>
  <c r="A31" i="12"/>
  <c r="E31" i="5"/>
  <c r="C32" i="5"/>
  <c r="D31" i="5"/>
  <c r="B31" i="12" s="1"/>
  <c r="B31" i="6"/>
  <c r="N31" i="5"/>
  <c r="AJ13" i="6"/>
  <c r="N26" i="12"/>
  <c r="BS28" i="6"/>
  <c r="C27" i="6"/>
  <c r="K29" i="12"/>
  <c r="GD27" i="6"/>
  <c r="W12" i="9"/>
  <c r="V11" i="9"/>
  <c r="BX28" i="6"/>
  <c r="BY28" i="6"/>
  <c r="CC14" i="6"/>
  <c r="CC16" i="6"/>
  <c r="CC17" i="6"/>
  <c r="CC18" i="6"/>
  <c r="CC19" i="6"/>
  <c r="CC20" i="6"/>
  <c r="CC21" i="6"/>
  <c r="CC22" i="6"/>
  <c r="CC23" i="6"/>
  <c r="CC24" i="6"/>
  <c r="CC25" i="6"/>
  <c r="CC26" i="6"/>
  <c r="CC27" i="6"/>
  <c r="D30" i="6"/>
  <c r="EG13" i="6" l="1"/>
  <c r="EF21" i="6"/>
  <c r="EF14" i="6"/>
  <c r="EF23" i="6"/>
  <c r="EF12" i="6"/>
  <c r="EF19" i="6"/>
  <c r="EF18" i="6"/>
  <c r="EF24" i="6"/>
  <c r="EF26" i="6"/>
  <c r="EF27" i="6"/>
  <c r="BR29" i="6"/>
  <c r="CC29" i="6"/>
  <c r="GD29" i="6"/>
  <c r="ED29" i="6"/>
  <c r="DR29" i="6"/>
  <c r="DV29" i="6"/>
  <c r="FV29" i="6"/>
  <c r="CB29" i="6"/>
  <c r="BZ29" i="6"/>
  <c r="FZ29" i="6"/>
  <c r="CA29" i="6"/>
  <c r="E32" i="5"/>
  <c r="D32" i="5"/>
  <c r="B32" i="12" s="1"/>
  <c r="A32" i="12"/>
  <c r="N32" i="5"/>
  <c r="G32" i="5"/>
  <c r="J32" i="5"/>
  <c r="B32" i="5"/>
  <c r="W32" i="5"/>
  <c r="AE32" i="5"/>
  <c r="K32" i="5"/>
  <c r="B32" i="6"/>
  <c r="AD32" i="5"/>
  <c r="H32" i="5"/>
  <c r="F32" i="5"/>
  <c r="A5" i="5"/>
  <c r="CF13" i="6"/>
  <c r="CE12" i="6"/>
  <c r="W11" i="9"/>
  <c r="X12" i="9"/>
  <c r="D31" i="6"/>
  <c r="BP29" i="6"/>
  <c r="DW29" i="6"/>
  <c r="BT29" i="6"/>
  <c r="BV29" i="6"/>
  <c r="H30" i="6"/>
  <c r="T30" i="5" s="1"/>
  <c r="X30" i="5" s="1"/>
  <c r="G30" i="6"/>
  <c r="Y27" i="12"/>
  <c r="BY29" i="6"/>
  <c r="BQ29" i="6"/>
  <c r="FO29" i="6"/>
  <c r="GE29" i="6"/>
  <c r="GB29" i="6"/>
  <c r="FR29" i="6"/>
  <c r="DT29" i="6"/>
  <c r="FQ29" i="6"/>
  <c r="DU29" i="6"/>
  <c r="FY29" i="6"/>
  <c r="K30" i="12"/>
  <c r="CD16" i="6"/>
  <c r="CD14" i="6"/>
  <c r="CD17" i="6"/>
  <c r="CD18" i="6"/>
  <c r="CD19" i="6"/>
  <c r="CD20" i="6"/>
  <c r="CD21" i="6"/>
  <c r="CD22" i="6"/>
  <c r="CD23" i="6"/>
  <c r="CD24" i="6"/>
  <c r="CD25" i="6"/>
  <c r="CD26" i="6"/>
  <c r="CD27" i="6"/>
  <c r="CD28" i="6"/>
  <c r="FX29" i="6"/>
  <c r="EB29" i="6"/>
  <c r="EC29" i="6"/>
  <c r="BW29" i="6"/>
  <c r="FW29" i="6"/>
  <c r="EG29" i="6"/>
  <c r="BU29" i="6"/>
  <c r="A30" i="6"/>
  <c r="N30" i="6" s="1"/>
  <c r="AK13" i="6"/>
  <c r="J31" i="12"/>
  <c r="L31" i="12"/>
  <c r="K28" i="5"/>
  <c r="D28" i="5" s="1"/>
  <c r="X12" i="10"/>
  <c r="W11" i="10"/>
  <c r="GF13" i="6"/>
  <c r="GE12" i="6"/>
  <c r="GE18" i="6"/>
  <c r="GE21" i="6"/>
  <c r="GE19" i="6"/>
  <c r="GE23" i="6"/>
  <c r="GE24" i="6"/>
  <c r="GE27" i="6"/>
  <c r="GE26" i="6"/>
  <c r="FT29" i="6"/>
  <c r="EA29" i="6"/>
  <c r="GF29" i="6"/>
  <c r="GA29" i="6"/>
  <c r="EE29" i="6"/>
  <c r="DQ29" i="6"/>
  <c r="BX29" i="6"/>
  <c r="DO29" i="6"/>
  <c r="CD29" i="6"/>
  <c r="DS29" i="6"/>
  <c r="FP29" i="6"/>
  <c r="FN29" i="6"/>
  <c r="I29" i="12"/>
  <c r="AM29" i="5"/>
  <c r="L29" i="5"/>
  <c r="I29" i="5"/>
  <c r="Z29" i="5"/>
  <c r="AC29" i="5"/>
  <c r="FU29" i="6"/>
  <c r="BS29" i="6"/>
  <c r="U26" i="12"/>
  <c r="T26" i="12"/>
  <c r="V26" i="12"/>
  <c r="J28" i="5"/>
  <c r="K31" i="12" l="1"/>
  <c r="A31" i="6"/>
  <c r="EG18" i="6"/>
  <c r="EG24" i="6"/>
  <c r="EH13" i="6"/>
  <c r="EG21" i="6"/>
  <c r="EG12" i="6"/>
  <c r="EG19" i="6"/>
  <c r="EG14" i="6"/>
  <c r="EG23" i="6"/>
  <c r="EG26" i="6"/>
  <c r="EG27" i="6"/>
  <c r="X27" i="12"/>
  <c r="W27" i="12"/>
  <c r="D32" i="6"/>
  <c r="A32" i="6" s="1"/>
  <c r="B28" i="12"/>
  <c r="GG13" i="6"/>
  <c r="GF12" i="6"/>
  <c r="GF18" i="6"/>
  <c r="GF19" i="6"/>
  <c r="GF21" i="6"/>
  <c r="GF23" i="6"/>
  <c r="GF24" i="6"/>
  <c r="GF26" i="6"/>
  <c r="GF27" i="6"/>
  <c r="M30" i="6"/>
  <c r="BR30" i="6" s="1"/>
  <c r="H31" i="6"/>
  <c r="T31" i="5" s="1"/>
  <c r="X31" i="5" s="1"/>
  <c r="EC31" i="6"/>
  <c r="N31" i="6"/>
  <c r="DR31" i="6"/>
  <c r="BY31" i="6"/>
  <c r="M31" i="6"/>
  <c r="FV31" i="6" s="1"/>
  <c r="G31" i="6"/>
  <c r="DX31" i="6"/>
  <c r="BS31" i="6"/>
  <c r="EH31" i="6"/>
  <c r="DU31" i="6"/>
  <c r="FY31" i="6"/>
  <c r="CC31" i="6"/>
  <c r="EA31" i="6"/>
  <c r="BZ31" i="6"/>
  <c r="BU31" i="6"/>
  <c r="GA31" i="6"/>
  <c r="CE16" i="6"/>
  <c r="CE14" i="6"/>
  <c r="CE17" i="6"/>
  <c r="CE18" i="6"/>
  <c r="CE19" i="6"/>
  <c r="CE20" i="6"/>
  <c r="CE21" i="6"/>
  <c r="CE22" i="6"/>
  <c r="CE23" i="6"/>
  <c r="CE24" i="6"/>
  <c r="CE25" i="6"/>
  <c r="CE26" i="6"/>
  <c r="CE27" i="6"/>
  <c r="CE28" i="6"/>
  <c r="CE29" i="6"/>
  <c r="L32" i="12"/>
  <c r="J32" i="12"/>
  <c r="AL13" i="6"/>
  <c r="L30" i="5"/>
  <c r="I30" i="12"/>
  <c r="AM30" i="5"/>
  <c r="I30" i="5"/>
  <c r="Z30" i="5"/>
  <c r="AC30" i="5"/>
  <c r="CF12" i="6"/>
  <c r="CG13" i="6"/>
  <c r="J17" i="5"/>
  <c r="D17" i="5" s="1"/>
  <c r="J20" i="5"/>
  <c r="D20" i="5" s="1"/>
  <c r="J22" i="5"/>
  <c r="D22" i="5" s="1"/>
  <c r="J25" i="5"/>
  <c r="D25" i="5" s="1"/>
  <c r="C29" i="6"/>
  <c r="O29" i="5"/>
  <c r="AB29" i="5"/>
  <c r="C29" i="12"/>
  <c r="O29" i="12"/>
  <c r="M29" i="12"/>
  <c r="AO29" i="12"/>
  <c r="Y12" i="10"/>
  <c r="X11" i="10"/>
  <c r="BP30" i="6"/>
  <c r="Y12" i="9"/>
  <c r="X11" i="9"/>
  <c r="O18" i="5"/>
  <c r="O19" i="5"/>
  <c r="O21" i="5"/>
  <c r="O23" i="5"/>
  <c r="O24" i="5"/>
  <c r="O26" i="5"/>
  <c r="O27" i="5"/>
  <c r="E1" i="8"/>
  <c r="E2" i="8" s="1"/>
  <c r="E23" i="8"/>
  <c r="E24" i="8" s="1"/>
  <c r="E29" i="8"/>
  <c r="E30" i="8" s="1"/>
  <c r="E17" i="8"/>
  <c r="E18" i="8" s="1"/>
  <c r="E26" i="8"/>
  <c r="E27" i="8" s="1"/>
  <c r="E20" i="8"/>
  <c r="E21" i="8" s="1"/>
  <c r="E14" i="8"/>
  <c r="E15" i="8" s="1"/>
  <c r="B21" i="11"/>
  <c r="K16" i="5"/>
  <c r="B19" i="11"/>
  <c r="B16" i="11"/>
  <c r="A16" i="13"/>
  <c r="J16" i="5"/>
  <c r="A17" i="13"/>
  <c r="B22" i="11"/>
  <c r="A20" i="13"/>
  <c r="A22" i="13"/>
  <c r="B18" i="11"/>
  <c r="B12" i="11"/>
  <c r="A19" i="13"/>
  <c r="A18" i="13"/>
  <c r="B15" i="11"/>
  <c r="A21" i="13"/>
  <c r="A12" i="13"/>
  <c r="A15" i="13"/>
  <c r="B17" i="11"/>
  <c r="B20" i="11"/>
  <c r="N29" i="12" l="1"/>
  <c r="BQ31" i="6"/>
  <c r="GC31" i="6"/>
  <c r="BP31" i="6"/>
  <c r="GF31" i="6"/>
  <c r="DY31" i="6"/>
  <c r="EG31" i="6"/>
  <c r="CD31" i="6"/>
  <c r="GD31" i="6"/>
  <c r="FQ31" i="6"/>
  <c r="D16" i="5"/>
  <c r="Y29" i="12"/>
  <c r="DZ31" i="6"/>
  <c r="BV31" i="6"/>
  <c r="FT31" i="6"/>
  <c r="DT31" i="6"/>
  <c r="EF31" i="6"/>
  <c r="DS31" i="6"/>
  <c r="GG31" i="6"/>
  <c r="FS31" i="6"/>
  <c r="DQ31" i="6"/>
  <c r="EH26" i="6"/>
  <c r="EH14" i="6"/>
  <c r="EH23" i="6"/>
  <c r="EH18" i="6"/>
  <c r="EH24" i="6"/>
  <c r="EI13" i="6"/>
  <c r="EH19" i="6"/>
  <c r="EH12" i="6"/>
  <c r="EH21" i="6"/>
  <c r="EH27" i="6"/>
  <c r="EH29" i="6"/>
  <c r="B21" i="13"/>
  <c r="AF21" i="13" s="1"/>
  <c r="I14" i="8"/>
  <c r="L14" i="8"/>
  <c r="N14" i="8" s="1"/>
  <c r="E26" i="6"/>
  <c r="D26" i="12"/>
  <c r="X29" i="12"/>
  <c r="W29" i="12"/>
  <c r="G17" i="11"/>
  <c r="F17" i="13" s="1"/>
  <c r="C17" i="13"/>
  <c r="AA17" i="11"/>
  <c r="O17" i="11"/>
  <c r="AB17" i="11"/>
  <c r="N17" i="11" s="1"/>
  <c r="K17" i="11"/>
  <c r="J17" i="13" s="1"/>
  <c r="O15" i="11"/>
  <c r="AB15" i="11"/>
  <c r="N15" i="11" s="1"/>
  <c r="G15" i="11"/>
  <c r="F15" i="13" s="1"/>
  <c r="C15" i="13"/>
  <c r="AA15" i="11"/>
  <c r="K15" i="11"/>
  <c r="J15" i="13" s="1"/>
  <c r="G18" i="11"/>
  <c r="F18" i="13" s="1"/>
  <c r="C18" i="13"/>
  <c r="K18" i="11"/>
  <c r="J18" i="13" s="1"/>
  <c r="AB18" i="11"/>
  <c r="N18" i="11" s="1"/>
  <c r="AA18" i="11"/>
  <c r="O18" i="11"/>
  <c r="B17" i="13"/>
  <c r="AG17" i="13" s="1"/>
  <c r="AD17" i="13"/>
  <c r="AE17" i="13"/>
  <c r="AC17" i="13"/>
  <c r="AH17" i="13"/>
  <c r="AB19" i="11"/>
  <c r="N19" i="11" s="1"/>
  <c r="K19" i="11"/>
  <c r="J19" i="13" s="1"/>
  <c r="O19" i="11"/>
  <c r="C19" i="13"/>
  <c r="AA19" i="11"/>
  <c r="G19" i="11"/>
  <c r="F19" i="13" s="1"/>
  <c r="L20" i="8"/>
  <c r="I20" i="8"/>
  <c r="L23" i="8"/>
  <c r="O23" i="8" s="1"/>
  <c r="I23" i="8"/>
  <c r="D24" i="12"/>
  <c r="E24" i="6"/>
  <c r="E18" i="6"/>
  <c r="D18" i="12"/>
  <c r="B22" i="12"/>
  <c r="AB22" i="5"/>
  <c r="X22" i="5"/>
  <c r="CF14" i="6"/>
  <c r="CF16" i="6"/>
  <c r="CF17" i="6"/>
  <c r="CF18" i="6"/>
  <c r="CF19" i="6"/>
  <c r="CF20" i="6"/>
  <c r="CF21" i="6"/>
  <c r="CF22" i="6"/>
  <c r="CF23" i="6"/>
  <c r="CF24" i="6"/>
  <c r="CF25" i="6"/>
  <c r="CF26" i="6"/>
  <c r="CF27" i="6"/>
  <c r="CF28" i="6"/>
  <c r="CF29" i="6"/>
  <c r="CF30" i="6"/>
  <c r="FZ31" i="6"/>
  <c r="DP31" i="6"/>
  <c r="CB31" i="6"/>
  <c r="FO31" i="6"/>
  <c r="FX31" i="6"/>
  <c r="FP31" i="6"/>
  <c r="CE31" i="6"/>
  <c r="DW31" i="6"/>
  <c r="CA30" i="6"/>
  <c r="H32" i="6"/>
  <c r="T32" i="5" s="1"/>
  <c r="X32" i="5" s="1"/>
  <c r="N32" i="6"/>
  <c r="M32" i="6"/>
  <c r="FR32" i="6" s="1"/>
  <c r="GA32" i="6"/>
  <c r="FO32" i="6"/>
  <c r="EI32" i="6"/>
  <c r="G32" i="6"/>
  <c r="BY32" i="6"/>
  <c r="FZ32" i="6"/>
  <c r="FW32" i="6"/>
  <c r="AB20" i="11"/>
  <c r="N20" i="11" s="1"/>
  <c r="C20" i="13"/>
  <c r="K20" i="11"/>
  <c r="J20" i="13" s="1"/>
  <c r="AA20" i="11"/>
  <c r="G20" i="11"/>
  <c r="F20" i="13" s="1"/>
  <c r="O20" i="11"/>
  <c r="C16" i="13"/>
  <c r="AB16" i="11"/>
  <c r="N16" i="11" s="1"/>
  <c r="G16" i="11"/>
  <c r="F16" i="13" s="1"/>
  <c r="O16" i="11"/>
  <c r="K16" i="11"/>
  <c r="J16" i="13" s="1"/>
  <c r="AA16" i="11"/>
  <c r="B18" i="13"/>
  <c r="AE18" i="13"/>
  <c r="AD18" i="13"/>
  <c r="AC18" i="13"/>
  <c r="AF18" i="13"/>
  <c r="AH18" i="13"/>
  <c r="AG18" i="13"/>
  <c r="D15" i="5"/>
  <c r="B16" i="12"/>
  <c r="X16" i="5"/>
  <c r="B14" i="13"/>
  <c r="M1" i="8"/>
  <c r="P1" i="8"/>
  <c r="L1" i="8"/>
  <c r="N1" i="8"/>
  <c r="F1" i="8"/>
  <c r="H1" i="8"/>
  <c r="I1" i="8"/>
  <c r="R1" i="8"/>
  <c r="F2" i="8"/>
  <c r="O1" i="8"/>
  <c r="D23" i="12"/>
  <c r="E23" i="6"/>
  <c r="D29" i="12"/>
  <c r="E29" i="6"/>
  <c r="B20" i="12"/>
  <c r="X20" i="5"/>
  <c r="R20" i="8" s="1"/>
  <c r="AB20" i="5"/>
  <c r="C30" i="12"/>
  <c r="AO30" i="12"/>
  <c r="M30" i="12"/>
  <c r="O30" i="12"/>
  <c r="N30" i="12" s="1"/>
  <c r="K32" i="12"/>
  <c r="CF31" i="6"/>
  <c r="BX31" i="6"/>
  <c r="GE31" i="6"/>
  <c r="FU31" i="6"/>
  <c r="ED31" i="6"/>
  <c r="DV31" i="6"/>
  <c r="FR31" i="6"/>
  <c r="GB31" i="6"/>
  <c r="CA31" i="6"/>
  <c r="EB31" i="6"/>
  <c r="BU30" i="6"/>
  <c r="O12" i="11"/>
  <c r="G12" i="11"/>
  <c r="F12" i="13" s="1"/>
  <c r="AB12" i="11"/>
  <c r="N12" i="11" s="1"/>
  <c r="C12" i="13"/>
  <c r="AA12" i="11"/>
  <c r="K12" i="11"/>
  <c r="J12" i="13" s="1"/>
  <c r="AA22" i="11"/>
  <c r="AB22" i="11"/>
  <c r="N22" i="11" s="1"/>
  <c r="O22" i="11"/>
  <c r="G22" i="11"/>
  <c r="F22" i="13" s="1"/>
  <c r="C22" i="13"/>
  <c r="K22" i="11"/>
  <c r="J22" i="13" s="1"/>
  <c r="AH15" i="13"/>
  <c r="B15" i="13"/>
  <c r="AD15" i="13" s="1"/>
  <c r="AG15" i="13"/>
  <c r="B22" i="13"/>
  <c r="AH22" i="13" s="1"/>
  <c r="AG22" i="13"/>
  <c r="AC22" i="13"/>
  <c r="AD22" i="13"/>
  <c r="AF22" i="13"/>
  <c r="AE22" i="13"/>
  <c r="L26" i="8"/>
  <c r="N23" i="8" s="1"/>
  <c r="O26" i="8"/>
  <c r="I26" i="8"/>
  <c r="P26" i="8"/>
  <c r="B12" i="13"/>
  <c r="AF12" i="13" s="1"/>
  <c r="AC19" i="13"/>
  <c r="B19" i="13"/>
  <c r="AF19" i="13" s="1"/>
  <c r="AG19" i="13"/>
  <c r="AE20" i="13"/>
  <c r="AF20" i="13"/>
  <c r="B20" i="13"/>
  <c r="AH20" i="13" s="1"/>
  <c r="AD20" i="13"/>
  <c r="B16" i="13"/>
  <c r="AE16" i="13" s="1"/>
  <c r="O21" i="11"/>
  <c r="G21" i="11"/>
  <c r="F21" i="13" s="1"/>
  <c r="K21" i="11"/>
  <c r="J21" i="13" s="1"/>
  <c r="AA21" i="11"/>
  <c r="AB21" i="11"/>
  <c r="N21" i="11" s="1"/>
  <c r="C21" i="13"/>
  <c r="L17" i="8"/>
  <c r="O17" i="8" s="1"/>
  <c r="N17" i="8"/>
  <c r="I17" i="8"/>
  <c r="D27" i="12"/>
  <c r="E27" i="6"/>
  <c r="D21" i="12"/>
  <c r="E21" i="6"/>
  <c r="Z12" i="9"/>
  <c r="Y11" i="9"/>
  <c r="Y11" i="10"/>
  <c r="Z12" i="10"/>
  <c r="AB17" i="5"/>
  <c r="X17" i="5"/>
  <c r="R17" i="8" s="1"/>
  <c r="B17" i="12"/>
  <c r="AB30" i="5"/>
  <c r="C30" i="6"/>
  <c r="O30" i="5"/>
  <c r="EI31" i="6"/>
  <c r="BR31" i="6"/>
  <c r="FN31" i="6"/>
  <c r="DO31" i="6"/>
  <c r="BT31" i="6"/>
  <c r="FW31" i="6"/>
  <c r="BW31" i="6"/>
  <c r="EE31" i="6"/>
  <c r="I31" i="12"/>
  <c r="L31" i="5"/>
  <c r="AM31" i="5"/>
  <c r="I31" i="5"/>
  <c r="Z31" i="5"/>
  <c r="AC31" i="5"/>
  <c r="GG12" i="6"/>
  <c r="GH13" i="6"/>
  <c r="GH32" i="6" s="1"/>
  <c r="GG18" i="6"/>
  <c r="GG19" i="6"/>
  <c r="GG21" i="6"/>
  <c r="GG23" i="6"/>
  <c r="GG24" i="6"/>
  <c r="GG26" i="6"/>
  <c r="GG27" i="6"/>
  <c r="GG29" i="6"/>
  <c r="V27" i="12"/>
  <c r="T27" i="12"/>
  <c r="U27" i="12"/>
  <c r="P29" i="8"/>
  <c r="I29" i="8"/>
  <c r="N29" i="8"/>
  <c r="L29" i="8"/>
  <c r="M26" i="8" s="1"/>
  <c r="M29" i="8"/>
  <c r="D19" i="12"/>
  <c r="E19" i="6"/>
  <c r="B25" i="12"/>
  <c r="AB25" i="5"/>
  <c r="X25" i="5"/>
  <c r="CG12" i="6"/>
  <c r="CG32" i="6" s="1"/>
  <c r="CH13" i="6"/>
  <c r="AM13" i="6"/>
  <c r="GD30" i="6"/>
  <c r="EE30" i="6"/>
  <c r="DQ30" i="6"/>
  <c r="FS30" i="6"/>
  <c r="GE30" i="6"/>
  <c r="DT30" i="6"/>
  <c r="EG30" i="6"/>
  <c r="FT30" i="6"/>
  <c r="FX30" i="6"/>
  <c r="DR30" i="6"/>
  <c r="FQ30" i="6"/>
  <c r="DZ30" i="6"/>
  <c r="BV30" i="6"/>
  <c r="GA30" i="6"/>
  <c r="FZ30" i="6"/>
  <c r="BS30" i="6"/>
  <c r="BZ30" i="6"/>
  <c r="EC30" i="6"/>
  <c r="DX30" i="6"/>
  <c r="BW30" i="6"/>
  <c r="FU30" i="6"/>
  <c r="BX30" i="6"/>
  <c r="BT30" i="6"/>
  <c r="GG30" i="6"/>
  <c r="BY30" i="6"/>
  <c r="CB30" i="6"/>
  <c r="CE30" i="6"/>
  <c r="EH30" i="6"/>
  <c r="DP30" i="6"/>
  <c r="DY30" i="6"/>
  <c r="FW30" i="6"/>
  <c r="DW30" i="6"/>
  <c r="EB30" i="6"/>
  <c r="GC30" i="6"/>
  <c r="FR30" i="6"/>
  <c r="GF30" i="6"/>
  <c r="FY30" i="6"/>
  <c r="EA30" i="6"/>
  <c r="DO30" i="6"/>
  <c r="GB30" i="6"/>
  <c r="BQ30" i="6"/>
  <c r="CC30" i="6"/>
  <c r="CD30" i="6"/>
  <c r="FO30" i="6"/>
  <c r="ED30" i="6"/>
  <c r="FV30" i="6"/>
  <c r="DV30" i="6"/>
  <c r="DU30" i="6"/>
  <c r="EF30" i="6"/>
  <c r="FN30" i="6"/>
  <c r="DS30" i="6"/>
  <c r="FP30" i="6"/>
  <c r="EI30" i="6"/>
  <c r="DU32" i="6" l="1"/>
  <c r="EI26" i="6"/>
  <c r="EI18" i="6"/>
  <c r="EI23" i="6"/>
  <c r="EI24" i="6"/>
  <c r="EI12" i="6"/>
  <c r="EI19" i="6"/>
  <c r="EI14" i="6"/>
  <c r="EJ13" i="6"/>
  <c r="EI21" i="6"/>
  <c r="EI27" i="6"/>
  <c r="EI29" i="6"/>
  <c r="P17" i="8"/>
  <c r="AH16" i="13"/>
  <c r="AD16" i="13"/>
  <c r="AD12" i="13"/>
  <c r="GB32" i="6"/>
  <c r="GG32" i="6"/>
  <c r="EF32" i="6"/>
  <c r="FQ32" i="6"/>
  <c r="GF32" i="6"/>
  <c r="FV32" i="6"/>
  <c r="FN32" i="6"/>
  <c r="EA32" i="6"/>
  <c r="FS32" i="6"/>
  <c r="BQ32" i="6"/>
  <c r="GH30" i="6"/>
  <c r="AF16" i="13"/>
  <c r="AH12" i="13"/>
  <c r="DT32" i="6"/>
  <c r="GD32" i="6"/>
  <c r="GE32" i="6"/>
  <c r="ED32" i="6"/>
  <c r="DQ32" i="6"/>
  <c r="DP32" i="6"/>
  <c r="EB32" i="6"/>
  <c r="GC32" i="6"/>
  <c r="DS32" i="6"/>
  <c r="P23" i="8"/>
  <c r="AG16" i="13"/>
  <c r="AE12" i="13"/>
  <c r="N26" i="8"/>
  <c r="CD32" i="6"/>
  <c r="CD15" i="6" s="1"/>
  <c r="AE15" i="6" s="1"/>
  <c r="EH32" i="6"/>
  <c r="FX32" i="6"/>
  <c r="BS32" i="6"/>
  <c r="FU32" i="6"/>
  <c r="DY32" i="6"/>
  <c r="CA32" i="6"/>
  <c r="DV32" i="6"/>
  <c r="F18" i="8"/>
  <c r="F17" i="8"/>
  <c r="F21" i="8"/>
  <c r="F20" i="8"/>
  <c r="O21" i="13"/>
  <c r="T21" i="13"/>
  <c r="K21" i="13"/>
  <c r="S21" i="13"/>
  <c r="U21" i="13"/>
  <c r="M21" i="13"/>
  <c r="R21" i="13"/>
  <c r="K16" i="13"/>
  <c r="M16" i="13"/>
  <c r="U16" i="13"/>
  <c r="T16" i="13"/>
  <c r="O16" i="13"/>
  <c r="S16" i="13"/>
  <c r="R16" i="13"/>
  <c r="BY15" i="6"/>
  <c r="Z15" i="6" s="1"/>
  <c r="BS15" i="6"/>
  <c r="T15" i="6" s="1"/>
  <c r="BQ15" i="6"/>
  <c r="R15" i="6" s="1"/>
  <c r="L32" i="5"/>
  <c r="AM32" i="5"/>
  <c r="I32" i="12"/>
  <c r="X15" i="5"/>
  <c r="I32" i="5"/>
  <c r="Z32" i="5"/>
  <c r="AC32" i="5"/>
  <c r="CA15" i="6"/>
  <c r="AB15" i="6" s="1"/>
  <c r="O22" i="12"/>
  <c r="M22" i="12"/>
  <c r="AO22" i="12"/>
  <c r="M20" i="8"/>
  <c r="R22" i="8"/>
  <c r="Z19" i="11"/>
  <c r="L19" i="13"/>
  <c r="C19" i="11"/>
  <c r="W19" i="11"/>
  <c r="O14" i="8"/>
  <c r="M14" i="8"/>
  <c r="AH21" i="13"/>
  <c r="AE21" i="13"/>
  <c r="AM17" i="5"/>
  <c r="Z17" i="5"/>
  <c r="L17" i="5"/>
  <c r="I17" i="12"/>
  <c r="AC17" i="5"/>
  <c r="AN13" i="6"/>
  <c r="AB31" i="5"/>
  <c r="C31" i="12"/>
  <c r="AO31" i="12"/>
  <c r="O31" i="12"/>
  <c r="M31" i="12"/>
  <c r="AA12" i="9"/>
  <c r="Z11" i="9"/>
  <c r="L21" i="13"/>
  <c r="Z21" i="11"/>
  <c r="W21" i="11"/>
  <c r="C21" i="11"/>
  <c r="AE19" i="13"/>
  <c r="AE15" i="13"/>
  <c r="C22" i="11"/>
  <c r="Z22" i="11"/>
  <c r="W22" i="11"/>
  <c r="L22" i="13"/>
  <c r="Z12" i="11"/>
  <c r="L12" i="13"/>
  <c r="C12" i="11"/>
  <c r="W12" i="11"/>
  <c r="I16" i="12"/>
  <c r="AM16" i="5"/>
  <c r="L16" i="5"/>
  <c r="Z16" i="5"/>
  <c r="AC16" i="5"/>
  <c r="O14" i="11"/>
  <c r="C16" i="11"/>
  <c r="Z16" i="11"/>
  <c r="W16" i="11"/>
  <c r="L16" i="13"/>
  <c r="C20" i="11"/>
  <c r="Z20" i="11"/>
  <c r="L20" i="13"/>
  <c r="W20" i="11"/>
  <c r="U20" i="13"/>
  <c r="M20" i="13"/>
  <c r="O20" i="13"/>
  <c r="T20" i="13"/>
  <c r="R20" i="13"/>
  <c r="K20" i="13"/>
  <c r="S20" i="13"/>
  <c r="BP32" i="6"/>
  <c r="BP15" i="6" s="1"/>
  <c r="Q15" i="6" s="1"/>
  <c r="CB32" i="6"/>
  <c r="BZ32" i="6"/>
  <c r="CC32" i="6"/>
  <c r="Z17" i="11"/>
  <c r="C17" i="11"/>
  <c r="L17" i="13"/>
  <c r="W17" i="11"/>
  <c r="T29" i="12"/>
  <c r="U29" i="12"/>
  <c r="V29" i="12"/>
  <c r="AD21" i="13"/>
  <c r="AG21" i="13"/>
  <c r="CC15" i="6"/>
  <c r="AD15" i="6" s="1"/>
  <c r="L25" i="5"/>
  <c r="AM25" i="5"/>
  <c r="I25" i="12"/>
  <c r="Z25" i="5"/>
  <c r="AC25" i="5"/>
  <c r="C31" i="6"/>
  <c r="O31" i="5"/>
  <c r="CB15" i="6"/>
  <c r="AC15" i="6" s="1"/>
  <c r="CH12" i="6"/>
  <c r="CI13" i="6"/>
  <c r="GH12" i="6"/>
  <c r="GI13" i="6"/>
  <c r="GH18" i="6"/>
  <c r="GH19" i="6"/>
  <c r="GH21" i="6"/>
  <c r="GH23" i="6"/>
  <c r="GH24" i="6"/>
  <c r="GH26" i="6"/>
  <c r="GH27" i="6"/>
  <c r="GH29" i="6"/>
  <c r="GH31" i="6"/>
  <c r="D30" i="12"/>
  <c r="E30" i="6"/>
  <c r="Z11" i="10"/>
  <c r="AA12" i="10"/>
  <c r="AC20" i="13"/>
  <c r="AD19" i="13"/>
  <c r="AH19" i="13"/>
  <c r="AC12" i="13"/>
  <c r="AF15" i="13"/>
  <c r="R12" i="13"/>
  <c r="U12" i="13"/>
  <c r="S12" i="13"/>
  <c r="O12" i="13"/>
  <c r="M12" i="13"/>
  <c r="T12" i="13"/>
  <c r="K12" i="13"/>
  <c r="Y30" i="12"/>
  <c r="L20" i="5"/>
  <c r="I20" i="12"/>
  <c r="AM20" i="5"/>
  <c r="Z20" i="5"/>
  <c r="AC20" i="5"/>
  <c r="G2" i="8"/>
  <c r="G1" i="8"/>
  <c r="I2" i="8" s="1"/>
  <c r="BU32" i="6"/>
  <c r="BU15" i="6" s="1"/>
  <c r="V15" i="6" s="1"/>
  <c r="BX32" i="6"/>
  <c r="BX15" i="6" s="1"/>
  <c r="Y15" i="6" s="1"/>
  <c r="EE32" i="6"/>
  <c r="EG32" i="6"/>
  <c r="DW32" i="6"/>
  <c r="BR32" i="6"/>
  <c r="BR15" i="6" s="1"/>
  <c r="S15" i="6" s="1"/>
  <c r="FP32" i="6"/>
  <c r="CF32" i="6"/>
  <c r="CF15" i="6" s="1"/>
  <c r="AG15" i="6" s="1"/>
  <c r="FT32" i="6"/>
  <c r="DR32" i="6"/>
  <c r="DO32" i="6"/>
  <c r="DX32" i="6"/>
  <c r="I22" i="12"/>
  <c r="L22" i="5"/>
  <c r="AM22" i="5"/>
  <c r="Z22" i="5"/>
  <c r="AC22" i="5"/>
  <c r="R25" i="8"/>
  <c r="P20" i="8"/>
  <c r="AF17" i="13"/>
  <c r="L18" i="13"/>
  <c r="W18" i="11"/>
  <c r="Z18" i="11"/>
  <c r="C18" i="11"/>
  <c r="R18" i="13"/>
  <c r="M18" i="13"/>
  <c r="O18" i="13"/>
  <c r="T18" i="13"/>
  <c r="K18" i="13"/>
  <c r="S18" i="13"/>
  <c r="U18" i="13"/>
  <c r="W15" i="11"/>
  <c r="Z15" i="11"/>
  <c r="C15" i="11"/>
  <c r="L15" i="13"/>
  <c r="Q14" i="8"/>
  <c r="R16" i="8"/>
  <c r="P14" i="8"/>
  <c r="BZ15" i="6"/>
  <c r="AA15" i="6" s="1"/>
  <c r="CG16" i="6"/>
  <c r="CG14" i="6"/>
  <c r="CG17" i="6"/>
  <c r="CG18" i="6"/>
  <c r="CG19" i="6"/>
  <c r="CG20" i="6"/>
  <c r="CG21" i="6"/>
  <c r="CG22" i="6"/>
  <c r="CG23" i="6"/>
  <c r="CG24" i="6"/>
  <c r="CG25" i="6"/>
  <c r="CG26" i="6"/>
  <c r="CG27" i="6"/>
  <c r="CG28" i="6"/>
  <c r="CG29" i="6"/>
  <c r="CG30" i="6"/>
  <c r="CG31" i="6"/>
  <c r="AO25" i="12"/>
  <c r="O25" i="12"/>
  <c r="M25" i="12"/>
  <c r="Q29" i="8"/>
  <c r="R31" i="8"/>
  <c r="O29" i="8"/>
  <c r="O17" i="12"/>
  <c r="N17" i="12" s="1"/>
  <c r="M17" i="12"/>
  <c r="AO17" i="12"/>
  <c r="M17" i="8"/>
  <c r="Q17" i="8" s="1"/>
  <c r="R19" i="8"/>
  <c r="AC16" i="13"/>
  <c r="AG20" i="13"/>
  <c r="AG12" i="13"/>
  <c r="R26" i="8"/>
  <c r="Q26" i="8"/>
  <c r="R28" i="8"/>
  <c r="AC15" i="13"/>
  <c r="K22" i="13"/>
  <c r="U22" i="13"/>
  <c r="M22" i="13"/>
  <c r="O22" i="13"/>
  <c r="T22" i="13"/>
  <c r="R22" i="13"/>
  <c r="S22" i="13"/>
  <c r="O20" i="12"/>
  <c r="AO20" i="12"/>
  <c r="Y20" i="12" s="1"/>
  <c r="M20" i="12"/>
  <c r="R3" i="8"/>
  <c r="Q1" i="8"/>
  <c r="CE32" i="6"/>
  <c r="CE15" i="6" s="1"/>
  <c r="AF15" i="6" s="1"/>
  <c r="BT32" i="6"/>
  <c r="BT15" i="6" s="1"/>
  <c r="U15" i="6" s="1"/>
  <c r="BV32" i="6"/>
  <c r="BV15" i="6" s="1"/>
  <c r="W15" i="6" s="1"/>
  <c r="BW32" i="6"/>
  <c r="BW15" i="6" s="1"/>
  <c r="X15" i="6" s="1"/>
  <c r="A20" i="9"/>
  <c r="C17" i="9"/>
  <c r="C18" i="9"/>
  <c r="C17" i="10"/>
  <c r="C16" i="9"/>
  <c r="A18" i="10"/>
  <c r="C1" i="10"/>
  <c r="C20" i="9"/>
  <c r="A19" i="9"/>
  <c r="C18" i="10"/>
  <c r="C19" i="10"/>
  <c r="A16" i="10"/>
  <c r="A1" i="9"/>
  <c r="C19" i="9"/>
  <c r="A19" i="10"/>
  <c r="A17" i="10"/>
  <c r="C16" i="10"/>
  <c r="A18" i="9"/>
  <c r="C20" i="10"/>
  <c r="A20" i="10"/>
  <c r="C1" i="9"/>
  <c r="A16" i="9"/>
  <c r="A1" i="10"/>
  <c r="M12" i="6"/>
  <c r="A17" i="9"/>
  <c r="FY32" i="6"/>
  <c r="DZ32" i="6"/>
  <c r="EC32" i="6"/>
  <c r="M23" i="8"/>
  <c r="Q23" i="8" s="1"/>
  <c r="R23" i="8"/>
  <c r="O20" i="8"/>
  <c r="N20" i="8"/>
  <c r="R19" i="13"/>
  <c r="K19" i="13"/>
  <c r="M19" i="13"/>
  <c r="S19" i="13"/>
  <c r="O19" i="13"/>
  <c r="U19" i="13"/>
  <c r="T19" i="13"/>
  <c r="S15" i="13"/>
  <c r="R15" i="13"/>
  <c r="M15" i="13"/>
  <c r="K15" i="13"/>
  <c r="T15" i="13"/>
  <c r="U15" i="13"/>
  <c r="O15" i="13"/>
  <c r="T17" i="13"/>
  <c r="O17" i="13"/>
  <c r="R17" i="13"/>
  <c r="S17" i="13"/>
  <c r="K17" i="13"/>
  <c r="U17" i="13"/>
  <c r="M17" i="13"/>
  <c r="R14" i="8"/>
  <c r="AC21" i="13"/>
  <c r="X28" i="5"/>
  <c r="N22" i="12" l="1"/>
  <c r="Q20" i="8"/>
  <c r="N25" i="12"/>
  <c r="EK13" i="6"/>
  <c r="EJ21" i="6"/>
  <c r="EJ26" i="6"/>
  <c r="EJ24" i="6"/>
  <c r="EJ12" i="6"/>
  <c r="EJ19" i="6"/>
  <c r="EJ14" i="6"/>
  <c r="EJ23" i="6"/>
  <c r="EJ18" i="6"/>
  <c r="EJ27" i="6"/>
  <c r="EJ29" i="6"/>
  <c r="EJ31" i="6"/>
  <c r="EJ30" i="6"/>
  <c r="EJ32" i="6"/>
  <c r="E19" i="8"/>
  <c r="C17" i="8"/>
  <c r="G17" i="8"/>
  <c r="I18" i="8" s="1"/>
  <c r="G18" i="8"/>
  <c r="C23" i="8"/>
  <c r="E25" i="8"/>
  <c r="C20" i="8"/>
  <c r="E22" i="8"/>
  <c r="G21" i="8"/>
  <c r="G20" i="8"/>
  <c r="I21" i="8" s="1"/>
  <c r="C32" i="6"/>
  <c r="O32" i="5"/>
  <c r="B14" i="8"/>
  <c r="C14" i="8"/>
  <c r="E16" i="8"/>
  <c r="GI12" i="6"/>
  <c r="GJ13" i="6"/>
  <c r="GI18" i="6"/>
  <c r="GI19" i="6"/>
  <c r="GI21" i="6"/>
  <c r="GI23" i="6"/>
  <c r="GI24" i="6"/>
  <c r="GI26" i="6"/>
  <c r="GI27" i="6"/>
  <c r="GI29" i="6"/>
  <c r="GI31" i="6"/>
  <c r="GI30" i="6"/>
  <c r="GI32" i="6"/>
  <c r="N20" i="13"/>
  <c r="P20" i="13"/>
  <c r="X30" i="12"/>
  <c r="W30" i="12"/>
  <c r="P12" i="13"/>
  <c r="N12" i="13"/>
  <c r="D31" i="12"/>
  <c r="E31" i="6"/>
  <c r="C25" i="12"/>
  <c r="L25" i="12"/>
  <c r="J25" i="12"/>
  <c r="D17" i="13"/>
  <c r="V12" i="13"/>
  <c r="D12" i="13"/>
  <c r="D22" i="13"/>
  <c r="D21" i="13"/>
  <c r="N31" i="12"/>
  <c r="C17" i="12"/>
  <c r="L17" i="12"/>
  <c r="J17" i="12"/>
  <c r="D19" i="13"/>
  <c r="AM15" i="5"/>
  <c r="Z15" i="5"/>
  <c r="P21" i="13"/>
  <c r="N21" i="13"/>
  <c r="C20" i="6"/>
  <c r="O20" i="5"/>
  <c r="C16" i="12"/>
  <c r="J16" i="12"/>
  <c r="I28" i="12"/>
  <c r="L28" i="5"/>
  <c r="AM28" i="5"/>
  <c r="Z28" i="5"/>
  <c r="AC28" i="5"/>
  <c r="AC11" i="5" s="1"/>
  <c r="R29" i="8"/>
  <c r="P17" i="13"/>
  <c r="N17" i="13"/>
  <c r="N19" i="13"/>
  <c r="P19" i="13"/>
  <c r="W20" i="12"/>
  <c r="X20" i="12"/>
  <c r="C26" i="8"/>
  <c r="E28" i="8"/>
  <c r="Y17" i="12"/>
  <c r="Y25" i="12"/>
  <c r="N18" i="13"/>
  <c r="P18" i="13"/>
  <c r="D18" i="13"/>
  <c r="AF1" i="8"/>
  <c r="X3" i="8"/>
  <c r="AD3" i="8"/>
  <c r="Z3" i="8"/>
  <c r="AJ3" i="8"/>
  <c r="Y3" i="8"/>
  <c r="Z1" i="8"/>
  <c r="Y1" i="8"/>
  <c r="AM3" i="8"/>
  <c r="W1" i="8"/>
  <c r="AO3" i="8"/>
  <c r="AK1" i="8"/>
  <c r="AI3" i="8"/>
  <c r="V3" i="8"/>
  <c r="AN3" i="8"/>
  <c r="D3" i="8"/>
  <c r="AB1" i="8"/>
  <c r="AC1" i="8"/>
  <c r="AP3" i="8"/>
  <c r="X1" i="8"/>
  <c r="B1" i="8"/>
  <c r="E3" i="8"/>
  <c r="AE1" i="8"/>
  <c r="AK3" i="8"/>
  <c r="AL3" i="8"/>
  <c r="D1" i="8"/>
  <c r="AN1" i="8"/>
  <c r="AL1" i="8"/>
  <c r="AQ1" i="8"/>
  <c r="AI1" i="8"/>
  <c r="V1" i="8"/>
  <c r="AA1" i="8"/>
  <c r="AD1" i="8"/>
  <c r="AH3" i="8"/>
  <c r="AF3" i="8"/>
  <c r="AQ3" i="8"/>
  <c r="AG3" i="8"/>
  <c r="AP1" i="8"/>
  <c r="AA3" i="8"/>
  <c r="W3" i="8"/>
  <c r="AG1" i="8"/>
  <c r="T3" i="8"/>
  <c r="U1" i="8"/>
  <c r="U3" i="8"/>
  <c r="AJ1" i="8"/>
  <c r="AH1" i="8"/>
  <c r="AM1" i="8"/>
  <c r="C1" i="8"/>
  <c r="AO1" i="8"/>
  <c r="AE3" i="8"/>
  <c r="AC3" i="8"/>
  <c r="T1" i="8"/>
  <c r="AB3" i="8"/>
  <c r="N20" i="12"/>
  <c r="G27" i="8"/>
  <c r="G26" i="8"/>
  <c r="I27" i="8" s="1"/>
  <c r="F27" i="8"/>
  <c r="F26" i="8"/>
  <c r="E31" i="8"/>
  <c r="CG15" i="6"/>
  <c r="AH15" i="6" s="1"/>
  <c r="C22" i="6"/>
  <c r="O22" i="5"/>
  <c r="CJ13" i="6"/>
  <c r="CI12" i="6"/>
  <c r="D20" i="13"/>
  <c r="C16" i="6"/>
  <c r="O16" i="5"/>
  <c r="Y31" i="12"/>
  <c r="AO13" i="6"/>
  <c r="O17" i="5"/>
  <c r="C17" i="6"/>
  <c r="Y22" i="12"/>
  <c r="C32" i="12"/>
  <c r="AO32" i="12"/>
  <c r="AO28" i="12" s="1"/>
  <c r="M32" i="12"/>
  <c r="M28" i="12" s="1"/>
  <c r="O32" i="12"/>
  <c r="N16" i="13"/>
  <c r="P16" i="13"/>
  <c r="G24" i="8"/>
  <c r="G23" i="8"/>
  <c r="I24" i="8" s="1"/>
  <c r="F23" i="8"/>
  <c r="F24" i="8"/>
  <c r="G14" i="8"/>
  <c r="I15" i="8" s="1"/>
  <c r="G15" i="8"/>
  <c r="F14" i="8"/>
  <c r="F15" i="8"/>
  <c r="P15" i="13"/>
  <c r="N15" i="13"/>
  <c r="N22" i="13"/>
  <c r="P22" i="13"/>
  <c r="Q33" i="8"/>
  <c r="H33" i="8" s="1"/>
  <c r="D15" i="13"/>
  <c r="C22" i="12"/>
  <c r="J22" i="12"/>
  <c r="L22" i="12"/>
  <c r="C20" i="12"/>
  <c r="J20" i="12"/>
  <c r="L20" i="12"/>
  <c r="AA11" i="10"/>
  <c r="AB12" i="10"/>
  <c r="CH14" i="6"/>
  <c r="CH16" i="6"/>
  <c r="CH17" i="6"/>
  <c r="CH18" i="6"/>
  <c r="CH19" i="6"/>
  <c r="CH20" i="6"/>
  <c r="CH21" i="6"/>
  <c r="CH22" i="6"/>
  <c r="CH23" i="6"/>
  <c r="CH24" i="6"/>
  <c r="CH25" i="6"/>
  <c r="CH26" i="6"/>
  <c r="CH27" i="6"/>
  <c r="CH28" i="6"/>
  <c r="CH29" i="6"/>
  <c r="CH30" i="6"/>
  <c r="CH31" i="6"/>
  <c r="CH32" i="6"/>
  <c r="C25" i="6"/>
  <c r="O25" i="5"/>
  <c r="D16" i="13"/>
  <c r="C14" i="11"/>
  <c r="L14" i="13"/>
  <c r="O23" i="11"/>
  <c r="W14" i="11"/>
  <c r="AA11" i="9"/>
  <c r="AB12" i="9"/>
  <c r="AB32" i="5"/>
  <c r="EK18" i="6" l="1"/>
  <c r="EK24" i="6"/>
  <c r="EK14" i="6"/>
  <c r="EL13" i="6"/>
  <c r="EK19" i="6"/>
  <c r="EK26" i="6"/>
  <c r="EK29" i="6"/>
  <c r="EK12" i="6"/>
  <c r="EK21" i="6"/>
  <c r="EK27" i="6"/>
  <c r="EK23" i="6"/>
  <c r="EK31" i="6"/>
  <c r="EK30" i="6"/>
  <c r="EK32" i="6"/>
  <c r="K25" i="12"/>
  <c r="M16" i="12"/>
  <c r="V14" i="13"/>
  <c r="D14" i="13"/>
  <c r="L27" i="13"/>
  <c r="W22" i="12"/>
  <c r="X22" i="12"/>
  <c r="AP13" i="6"/>
  <c r="CJ12" i="6"/>
  <c r="CK13" i="6"/>
  <c r="G30" i="8"/>
  <c r="G29" i="8"/>
  <c r="I30" i="8" s="1"/>
  <c r="F29" i="8"/>
  <c r="F30" i="8"/>
  <c r="N32" i="12"/>
  <c r="O16" i="12"/>
  <c r="C28" i="6"/>
  <c r="O28" i="5"/>
  <c r="AB15" i="5"/>
  <c r="AB28" i="5"/>
  <c r="E25" i="6"/>
  <c r="D25" i="12"/>
  <c r="H26" i="8"/>
  <c r="AC12" i="10"/>
  <c r="AB11" i="10"/>
  <c r="W25" i="12"/>
  <c r="X25" i="12"/>
  <c r="T20" i="12"/>
  <c r="V20" i="12"/>
  <c r="U20" i="12"/>
  <c r="C28" i="12"/>
  <c r="J28" i="12"/>
  <c r="O28" i="12"/>
  <c r="N28" i="12" s="1"/>
  <c r="E32" i="6"/>
  <c r="D32" i="12"/>
  <c r="AB11" i="9"/>
  <c r="AC12" i="9"/>
  <c r="K22" i="12"/>
  <c r="Y32" i="12"/>
  <c r="AO16" i="12"/>
  <c r="Y16" i="12" s="1"/>
  <c r="D17" i="12"/>
  <c r="E17" i="6"/>
  <c r="H17" i="8"/>
  <c r="W31" i="12"/>
  <c r="X31" i="12"/>
  <c r="W17" i="12"/>
  <c r="X17" i="12"/>
  <c r="E20" i="6"/>
  <c r="D20" i="12"/>
  <c r="H20" i="8"/>
  <c r="U30" i="12"/>
  <c r="V30" i="12"/>
  <c r="T30" i="12"/>
  <c r="GJ12" i="6"/>
  <c r="GK13" i="6"/>
  <c r="GJ18" i="6"/>
  <c r="GJ19" i="6"/>
  <c r="GJ21" i="6"/>
  <c r="GJ23" i="6"/>
  <c r="GJ24" i="6"/>
  <c r="GJ26" i="6"/>
  <c r="GJ27" i="6"/>
  <c r="GJ29" i="6"/>
  <c r="GJ31" i="6"/>
  <c r="GJ30" i="6"/>
  <c r="GJ32" i="6"/>
  <c r="AB16" i="5"/>
  <c r="AA7" i="11"/>
  <c r="O24" i="11"/>
  <c r="CH15" i="6"/>
  <c r="AI15" i="6" s="1"/>
  <c r="K20" i="12"/>
  <c r="D16" i="12"/>
  <c r="E16" i="6"/>
  <c r="H14" i="8"/>
  <c r="CI16" i="6"/>
  <c r="CI14" i="6"/>
  <c r="CI17" i="6"/>
  <c r="CI18" i="6"/>
  <c r="CI19" i="6"/>
  <c r="CI20" i="6"/>
  <c r="CI21" i="6"/>
  <c r="CI22" i="6"/>
  <c r="CI23" i="6"/>
  <c r="CI24" i="6"/>
  <c r="CI25" i="6"/>
  <c r="CI26" i="6"/>
  <c r="CI27" i="6"/>
  <c r="CI28" i="6"/>
  <c r="CI29" i="6"/>
  <c r="CI30" i="6"/>
  <c r="CI31" i="6"/>
  <c r="CI32" i="6"/>
  <c r="D22" i="12"/>
  <c r="E22" i="6"/>
  <c r="H23" i="8"/>
  <c r="C29" i="8"/>
  <c r="K17" i="12"/>
  <c r="EL14" i="6" l="1"/>
  <c r="EL23" i="6"/>
  <c r="EL29" i="6"/>
  <c r="EM13" i="6"/>
  <c r="EL21" i="6"/>
  <c r="EL18" i="6"/>
  <c r="EL24" i="6"/>
  <c r="EL12" i="6"/>
  <c r="EL19" i="6"/>
  <c r="EL26" i="6"/>
  <c r="EL31" i="6"/>
  <c r="EL27" i="6"/>
  <c r="EL30" i="6"/>
  <c r="EL32" i="6"/>
  <c r="GK12" i="6"/>
  <c r="GL13" i="6"/>
  <c r="GK18" i="6"/>
  <c r="GK19" i="6"/>
  <c r="GK21" i="6"/>
  <c r="GK23" i="6"/>
  <c r="GK24" i="6"/>
  <c r="GK26" i="6"/>
  <c r="GK27" i="6"/>
  <c r="GK29" i="6"/>
  <c r="GK31" i="6"/>
  <c r="GK32" i="6"/>
  <c r="GK30" i="6"/>
  <c r="T17" i="12"/>
  <c r="U17" i="12"/>
  <c r="V17" i="12"/>
  <c r="X32" i="12"/>
  <c r="W32" i="12"/>
  <c r="L28" i="12"/>
  <c r="K28" i="12" s="1"/>
  <c r="U25" i="12"/>
  <c r="V25" i="12"/>
  <c r="T25" i="12"/>
  <c r="CL13" i="6"/>
  <c r="CK12" i="6"/>
  <c r="V15" i="13"/>
  <c r="V16" i="13" s="1"/>
  <c r="V17" i="13" s="1"/>
  <c r="V18" i="13" s="1"/>
  <c r="V19" i="13" s="1"/>
  <c r="V20" i="13" s="1"/>
  <c r="V21" i="13" s="1"/>
  <c r="V22" i="13" s="1"/>
  <c r="D28" i="12"/>
  <c r="E28" i="6"/>
  <c r="H29" i="8"/>
  <c r="CJ16" i="6"/>
  <c r="CJ14" i="6"/>
  <c r="CJ17" i="6"/>
  <c r="CJ18" i="6"/>
  <c r="CJ19" i="6"/>
  <c r="CJ20" i="6"/>
  <c r="CJ21" i="6"/>
  <c r="CJ22" i="6"/>
  <c r="CJ23" i="6"/>
  <c r="CJ24" i="6"/>
  <c r="CJ25" i="6"/>
  <c r="CJ26" i="6"/>
  <c r="CJ27" i="6"/>
  <c r="CJ28" i="6"/>
  <c r="CJ29" i="6"/>
  <c r="CJ30" i="6"/>
  <c r="CJ31" i="6"/>
  <c r="CJ32" i="6"/>
  <c r="U22" i="12"/>
  <c r="T22" i="12"/>
  <c r="V22" i="12"/>
  <c r="AC11" i="9"/>
  <c r="AD12" i="9"/>
  <c r="AQ13" i="6"/>
  <c r="D33" i="14"/>
  <c r="L23" i="13"/>
  <c r="Y28" i="12"/>
  <c r="CI15" i="6"/>
  <c r="AJ15" i="6" s="1"/>
  <c r="AB14" i="11"/>
  <c r="T31" i="12"/>
  <c r="V31" i="12"/>
  <c r="U31" i="12"/>
  <c r="W16" i="12"/>
  <c r="X16" i="12"/>
  <c r="AD12" i="10"/>
  <c r="AC11" i="10"/>
  <c r="N16" i="12"/>
  <c r="L16" i="12"/>
  <c r="K16" i="12" s="1"/>
  <c r="EM31" i="6" l="1"/>
  <c r="EM12" i="6"/>
  <c r="EM21" i="6"/>
  <c r="EM27" i="6"/>
  <c r="EM14" i="6"/>
  <c r="EM23" i="6"/>
  <c r="EM29" i="6"/>
  <c r="EM30" i="6"/>
  <c r="EM18" i="6"/>
  <c r="EM24" i="6"/>
  <c r="EN13" i="6"/>
  <c r="EM19" i="6"/>
  <c r="EM26" i="6"/>
  <c r="EM32" i="6"/>
  <c r="AD11" i="10"/>
  <c r="AE12" i="10"/>
  <c r="AB23" i="11"/>
  <c r="AB7" i="11" s="1"/>
  <c r="Z3" i="11" s="1"/>
  <c r="AA3" i="11" s="1"/>
  <c r="N14" i="11"/>
  <c r="N23" i="11" s="1"/>
  <c r="AR13" i="6"/>
  <c r="I42" i="14"/>
  <c r="J42" i="14" s="1"/>
  <c r="K42" i="14" s="1"/>
  <c r="L42" i="14" s="1"/>
  <c r="I33" i="14"/>
  <c r="J33" i="14" s="1"/>
  <c r="K33" i="14" s="1"/>
  <c r="L33" i="14" s="1"/>
  <c r="I9" i="14"/>
  <c r="J9" i="14" s="1"/>
  <c r="K9" i="14" s="1"/>
  <c r="L9" i="14" s="1"/>
  <c r="I45" i="14"/>
  <c r="J45" i="14" s="1"/>
  <c r="K45" i="14" s="1"/>
  <c r="L45" i="14" s="1"/>
  <c r="I21" i="14"/>
  <c r="J21" i="14" s="1"/>
  <c r="K21" i="14" s="1"/>
  <c r="L21" i="14" s="1"/>
  <c r="I11" i="14"/>
  <c r="J11" i="14" s="1"/>
  <c r="K11" i="14" s="1"/>
  <c r="L11" i="14" s="1"/>
  <c r="I23" i="14"/>
  <c r="J23" i="14" s="1"/>
  <c r="K23" i="14" s="1"/>
  <c r="L23" i="14" s="1"/>
  <c r="I8" i="14"/>
  <c r="J8" i="14" s="1"/>
  <c r="K8" i="14" s="1"/>
  <c r="L8" i="14" s="1"/>
  <c r="I17" i="14"/>
  <c r="J17" i="14" s="1"/>
  <c r="K17" i="14" s="1"/>
  <c r="L17" i="14" s="1"/>
  <c r="I19" i="14"/>
  <c r="J19" i="14" s="1"/>
  <c r="K19" i="14" s="1"/>
  <c r="L19" i="14" s="1"/>
  <c r="CL12" i="6"/>
  <c r="CM13" i="6"/>
  <c r="V16" i="12"/>
  <c r="U16" i="12"/>
  <c r="T16" i="12"/>
  <c r="I29" i="14"/>
  <c r="J29" i="14" s="1"/>
  <c r="K29" i="14" s="1"/>
  <c r="L29" i="14" s="1"/>
  <c r="I15" i="14"/>
  <c r="J15" i="14" s="1"/>
  <c r="K15" i="14" s="1"/>
  <c r="L15" i="14" s="1"/>
  <c r="I43" i="14"/>
  <c r="J43" i="14" s="1"/>
  <c r="K43" i="14" s="1"/>
  <c r="L43" i="14" s="1"/>
  <c r="I38" i="14"/>
  <c r="J38" i="14" s="1"/>
  <c r="K38" i="14" s="1"/>
  <c r="L38" i="14" s="1"/>
  <c r="I26" i="14"/>
  <c r="J26" i="14" s="1"/>
  <c r="K26" i="14" s="1"/>
  <c r="L26" i="14" s="1"/>
  <c r="I14" i="14"/>
  <c r="J14" i="14" s="1"/>
  <c r="K14" i="14" s="1"/>
  <c r="L14" i="14" s="1"/>
  <c r="I16" i="14"/>
  <c r="J16" i="14" s="1"/>
  <c r="K16" i="14" s="1"/>
  <c r="L16" i="14" s="1"/>
  <c r="I31" i="14"/>
  <c r="J31" i="14" s="1"/>
  <c r="K31" i="14" s="1"/>
  <c r="L31" i="14" s="1"/>
  <c r="I7" i="14"/>
  <c r="J7" i="14" s="1"/>
  <c r="K7" i="14" s="1"/>
  <c r="L7" i="14" s="1"/>
  <c r="I34" i="14"/>
  <c r="J34" i="14" s="1"/>
  <c r="K34" i="14" s="1"/>
  <c r="L34" i="14" s="1"/>
  <c r="CJ15" i="6"/>
  <c r="AK15" i="6" s="1"/>
  <c r="I24" i="14"/>
  <c r="J24" i="14" s="1"/>
  <c r="K24" i="14" s="1"/>
  <c r="L24" i="14" s="1"/>
  <c r="I28" i="14"/>
  <c r="J28" i="14" s="1"/>
  <c r="K28" i="14" s="1"/>
  <c r="L28" i="14" s="1"/>
  <c r="I20" i="14"/>
  <c r="J20" i="14" s="1"/>
  <c r="K20" i="14" s="1"/>
  <c r="L20" i="14" s="1"/>
  <c r="I12" i="14"/>
  <c r="J12" i="14" s="1"/>
  <c r="K12" i="14" s="1"/>
  <c r="L12" i="14" s="1"/>
  <c r="I32" i="14"/>
  <c r="J32" i="14" s="1"/>
  <c r="K32" i="14" s="1"/>
  <c r="L32" i="14" s="1"/>
  <c r="I22" i="14"/>
  <c r="J22" i="14" s="1"/>
  <c r="K22" i="14" s="1"/>
  <c r="L22" i="14" s="1"/>
  <c r="I39" i="14"/>
  <c r="J39" i="14" s="1"/>
  <c r="K39" i="14" s="1"/>
  <c r="L39" i="14" s="1"/>
  <c r="I46" i="14"/>
  <c r="J46" i="14" s="1"/>
  <c r="K46" i="14" s="1"/>
  <c r="L46" i="14" s="1"/>
  <c r="I18" i="14"/>
  <c r="J18" i="14" s="1"/>
  <c r="K18" i="14" s="1"/>
  <c r="L18" i="14" s="1"/>
  <c r="I41" i="14"/>
  <c r="J41" i="14" s="1"/>
  <c r="K41" i="14" s="1"/>
  <c r="L41" i="14" s="1"/>
  <c r="I27" i="14"/>
  <c r="J27" i="14" s="1"/>
  <c r="K27" i="14" s="1"/>
  <c r="L27" i="14" s="1"/>
  <c r="X28" i="12"/>
  <c r="W28" i="12"/>
  <c r="AD11" i="9"/>
  <c r="AE12" i="9"/>
  <c r="I25" i="14"/>
  <c r="J25" i="14" s="1"/>
  <c r="K25" i="14" s="1"/>
  <c r="L25" i="14" s="1"/>
  <c r="I36" i="14"/>
  <c r="J36" i="14" s="1"/>
  <c r="K36" i="14" s="1"/>
  <c r="L36" i="14" s="1"/>
  <c r="I6" i="14"/>
  <c r="J6" i="14" s="1"/>
  <c r="I40" i="14"/>
  <c r="J40" i="14" s="1"/>
  <c r="K40" i="14" s="1"/>
  <c r="L40" i="14" s="1"/>
  <c r="I10" i="14"/>
  <c r="J10" i="14" s="1"/>
  <c r="K10" i="14" s="1"/>
  <c r="L10" i="14" s="1"/>
  <c r="I35" i="14"/>
  <c r="J35" i="14" s="1"/>
  <c r="K35" i="14" s="1"/>
  <c r="L35" i="14" s="1"/>
  <c r="I13" i="14"/>
  <c r="J13" i="14" s="1"/>
  <c r="K13" i="14" s="1"/>
  <c r="L13" i="14" s="1"/>
  <c r="I37" i="14"/>
  <c r="J37" i="14" s="1"/>
  <c r="K37" i="14" s="1"/>
  <c r="L37" i="14" s="1"/>
  <c r="I44" i="14"/>
  <c r="J44" i="14" s="1"/>
  <c r="K44" i="14" s="1"/>
  <c r="L44" i="14" s="1"/>
  <c r="I30" i="14"/>
  <c r="J30" i="14" s="1"/>
  <c r="K30" i="14" s="1"/>
  <c r="L30" i="14" s="1"/>
  <c r="CK14" i="6"/>
  <c r="CK16" i="6"/>
  <c r="CK17" i="6"/>
  <c r="CK18" i="6"/>
  <c r="CK19" i="6"/>
  <c r="CK20" i="6"/>
  <c r="CK21" i="6"/>
  <c r="CK22" i="6"/>
  <c r="CK23" i="6"/>
  <c r="CK24" i="6"/>
  <c r="CK25" i="6"/>
  <c r="CK26" i="6"/>
  <c r="CK27" i="6"/>
  <c r="CK28" i="6"/>
  <c r="CK29" i="6"/>
  <c r="CK30" i="6"/>
  <c r="CK31" i="6"/>
  <c r="CK32" i="6"/>
  <c r="T32" i="12"/>
  <c r="V32" i="12"/>
  <c r="U32" i="12"/>
  <c r="GL12" i="6"/>
  <c r="GM13" i="6"/>
  <c r="GL18" i="6"/>
  <c r="GL19" i="6"/>
  <c r="GL21" i="6"/>
  <c r="GL23" i="6"/>
  <c r="GL24" i="6"/>
  <c r="GL26" i="6"/>
  <c r="GL27" i="6"/>
  <c r="GL29" i="6"/>
  <c r="GL31" i="6"/>
  <c r="GL30" i="6"/>
  <c r="GL32" i="6"/>
  <c r="EN30" i="6" l="1"/>
  <c r="EN32" i="6"/>
  <c r="EN18" i="6"/>
  <c r="EN24" i="6"/>
  <c r="EN19" i="6"/>
  <c r="EO13" i="6"/>
  <c r="EN21" i="6"/>
  <c r="EN27" i="6"/>
  <c r="EN14" i="6"/>
  <c r="EN23" i="6"/>
  <c r="EN12" i="6"/>
  <c r="EN26" i="6"/>
  <c r="EN29" i="6"/>
  <c r="EN31" i="6"/>
  <c r="V28" i="12"/>
  <c r="T28" i="12"/>
  <c r="U28" i="12"/>
  <c r="AS13" i="6"/>
  <c r="N24" i="11"/>
  <c r="L26" i="13"/>
  <c r="D32" i="14" s="1"/>
  <c r="CK15" i="6"/>
  <c r="AL15" i="6" s="1"/>
  <c r="AE11" i="9"/>
  <c r="AF12" i="9"/>
  <c r="CN13" i="6"/>
  <c r="CM12" i="6"/>
  <c r="AD16" i="11"/>
  <c r="AD17" i="11"/>
  <c r="AD18" i="11"/>
  <c r="AD15" i="11"/>
  <c r="AD20" i="11"/>
  <c r="AD22" i="11"/>
  <c r="AD21" i="11"/>
  <c r="AD12" i="11"/>
  <c r="AD14" i="11"/>
  <c r="AD19" i="11"/>
  <c r="AE18" i="11" s="1"/>
  <c r="M18" i="11" s="1"/>
  <c r="L18" i="11" s="1"/>
  <c r="AA18" i="5"/>
  <c r="AA19" i="5"/>
  <c r="AA21" i="5"/>
  <c r="AA20" i="5" s="1"/>
  <c r="B20" i="8" s="1"/>
  <c r="AA23" i="5"/>
  <c r="AA22" i="5" s="1"/>
  <c r="B23" i="8" s="1"/>
  <c r="AA24" i="5"/>
  <c r="AA26" i="5"/>
  <c r="AA25" i="5" s="1"/>
  <c r="B26" i="8" s="1"/>
  <c r="AA27" i="5"/>
  <c r="AA29" i="5"/>
  <c r="AA30" i="5"/>
  <c r="AA31" i="5"/>
  <c r="AA32" i="5"/>
  <c r="GN13" i="6"/>
  <c r="GM12" i="6"/>
  <c r="GM18" i="6"/>
  <c r="GM21" i="6"/>
  <c r="GM19" i="6"/>
  <c r="GM23" i="6"/>
  <c r="GM24" i="6"/>
  <c r="GM26" i="6"/>
  <c r="GM27" i="6"/>
  <c r="GM29" i="6"/>
  <c r="GM31" i="6"/>
  <c r="GM30" i="6"/>
  <c r="GM32" i="6"/>
  <c r="CL16" i="6"/>
  <c r="CL14" i="6"/>
  <c r="CL17" i="6"/>
  <c r="CL18" i="6"/>
  <c r="CL19" i="6"/>
  <c r="CL20" i="6"/>
  <c r="CL21" i="6"/>
  <c r="CL22" i="6"/>
  <c r="CL23" i="6"/>
  <c r="CL24" i="6"/>
  <c r="CL25" i="6"/>
  <c r="CL26" i="6"/>
  <c r="CL27" i="6"/>
  <c r="CL28" i="6"/>
  <c r="CL29" i="6"/>
  <c r="CL30" i="6"/>
  <c r="CL31" i="6"/>
  <c r="CL32" i="6"/>
  <c r="AF12" i="10"/>
  <c r="AE11" i="10"/>
  <c r="EO12" i="6" l="1"/>
  <c r="EO19" i="6"/>
  <c r="EO26" i="6"/>
  <c r="EO32" i="6"/>
  <c r="EP13" i="6"/>
  <c r="EO21" i="6"/>
  <c r="EO27" i="6"/>
  <c r="EO30" i="6"/>
  <c r="EO14" i="6"/>
  <c r="EO23" i="6"/>
  <c r="EO29" i="6"/>
  <c r="EO18" i="6"/>
  <c r="EO24" i="6"/>
  <c r="EO31" i="6"/>
  <c r="AF11" i="10"/>
  <c r="AG12" i="10"/>
  <c r="CL15" i="6"/>
  <c r="AM15" i="6" s="1"/>
  <c r="GN12" i="6"/>
  <c r="GO13" i="6"/>
  <c r="GN18" i="6"/>
  <c r="GN21" i="6"/>
  <c r="GN19" i="6"/>
  <c r="GN23" i="6"/>
  <c r="GN24" i="6"/>
  <c r="GN26" i="6"/>
  <c r="GN27" i="6"/>
  <c r="GN29" i="6"/>
  <c r="GN31" i="6"/>
  <c r="GN30" i="6"/>
  <c r="GN32" i="6"/>
  <c r="AA28" i="5"/>
  <c r="B29" i="8" s="1"/>
  <c r="AE21" i="11"/>
  <c r="M21" i="11" s="1"/>
  <c r="L21" i="11" s="1"/>
  <c r="AE22" i="11"/>
  <c r="M22" i="11" s="1"/>
  <c r="L22" i="11" s="1"/>
  <c r="AE16" i="11"/>
  <c r="M16" i="11" s="1"/>
  <c r="L16" i="11" s="1"/>
  <c r="CN12" i="6"/>
  <c r="CO13" i="6"/>
  <c r="AE12" i="11"/>
  <c r="M12" i="11" s="1"/>
  <c r="L12" i="11" s="1"/>
  <c r="AE19" i="11"/>
  <c r="M19" i="11" s="1"/>
  <c r="L19" i="11" s="1"/>
  <c r="AE15" i="11"/>
  <c r="M15" i="11" s="1"/>
  <c r="L15" i="11" s="1"/>
  <c r="CM14" i="6"/>
  <c r="CM16" i="6"/>
  <c r="CM17" i="6"/>
  <c r="CM18" i="6"/>
  <c r="CM19" i="6"/>
  <c r="CM20" i="6"/>
  <c r="CM21" i="6"/>
  <c r="CM22" i="6"/>
  <c r="CM23" i="6"/>
  <c r="CM24" i="6"/>
  <c r="CM25" i="6"/>
  <c r="CM26" i="6"/>
  <c r="CM27" i="6"/>
  <c r="CM28" i="6"/>
  <c r="CM29" i="6"/>
  <c r="CM30" i="6"/>
  <c r="CM31" i="6"/>
  <c r="CM32" i="6"/>
  <c r="AG12" i="9"/>
  <c r="AF11" i="9"/>
  <c r="AT13" i="6"/>
  <c r="AA15" i="5"/>
  <c r="AA17" i="5"/>
  <c r="B17" i="8" s="1"/>
  <c r="AA16" i="5"/>
  <c r="AE20" i="11"/>
  <c r="M20" i="11" s="1"/>
  <c r="L20" i="11" s="1"/>
  <c r="AE17" i="11"/>
  <c r="M17" i="11" s="1"/>
  <c r="L17" i="11" s="1"/>
  <c r="EP12" i="6" l="1"/>
  <c r="EP19" i="6"/>
  <c r="EP26" i="6"/>
  <c r="EP30" i="6"/>
  <c r="EP23" i="6"/>
  <c r="EP18" i="6"/>
  <c r="EP31" i="6"/>
  <c r="EQ13" i="6"/>
  <c r="EP21" i="6"/>
  <c r="EP27" i="6"/>
  <c r="EP32" i="6"/>
  <c r="EP14" i="6"/>
  <c r="EP29" i="6"/>
  <c r="EP24" i="6"/>
  <c r="AU13" i="6"/>
  <c r="AH12" i="9"/>
  <c r="AG11" i="9"/>
  <c r="AG11" i="10"/>
  <c r="AH12" i="10"/>
  <c r="AA14" i="11"/>
  <c r="CM15" i="6"/>
  <c r="AN15" i="6" s="1"/>
  <c r="CO12" i="6"/>
  <c r="CP13" i="6"/>
  <c r="GO12" i="6"/>
  <c r="GP13" i="6"/>
  <c r="GO18" i="6"/>
  <c r="GO19" i="6"/>
  <c r="GO21" i="6"/>
  <c r="GO23" i="6"/>
  <c r="GO24" i="6"/>
  <c r="GO26" i="6"/>
  <c r="GO27" i="6"/>
  <c r="GO29" i="6"/>
  <c r="GO32" i="6"/>
  <c r="GO30" i="6"/>
  <c r="GO31" i="6"/>
  <c r="CN14" i="6"/>
  <c r="CN16" i="6"/>
  <c r="CN17" i="6"/>
  <c r="CN18" i="6"/>
  <c r="CN19" i="6"/>
  <c r="CN20" i="6"/>
  <c r="CN21" i="6"/>
  <c r="CN22" i="6"/>
  <c r="CN23" i="6"/>
  <c r="CN24" i="6"/>
  <c r="CN25" i="6"/>
  <c r="CN26" i="6"/>
  <c r="CN27" i="6"/>
  <c r="CN28" i="6"/>
  <c r="CN29" i="6"/>
  <c r="CN30" i="6"/>
  <c r="CN31" i="6"/>
  <c r="CN32" i="6"/>
  <c r="EQ12" i="6" l="1"/>
  <c r="EQ19" i="6"/>
  <c r="EQ27" i="6"/>
  <c r="EQ32" i="6"/>
  <c r="EQ18" i="6"/>
  <c r="EQ23" i="6"/>
  <c r="EQ31" i="6"/>
  <c r="EQ14" i="6"/>
  <c r="EQ24" i="6"/>
  <c r="EQ29" i="6"/>
  <c r="ER13" i="6"/>
  <c r="EQ21" i="6"/>
  <c r="EQ26" i="6"/>
  <c r="EQ30" i="6"/>
  <c r="CQ13" i="6"/>
  <c r="CP12" i="6"/>
  <c r="CO14" i="6"/>
  <c r="CO16" i="6"/>
  <c r="CO17" i="6"/>
  <c r="CO18" i="6"/>
  <c r="CO19" i="6"/>
  <c r="CO20" i="6"/>
  <c r="CO21" i="6"/>
  <c r="CO22" i="6"/>
  <c r="CO23" i="6"/>
  <c r="CO24" i="6"/>
  <c r="CO25" i="6"/>
  <c r="CO26" i="6"/>
  <c r="CO27" i="6"/>
  <c r="CO28" i="6"/>
  <c r="CO29" i="6"/>
  <c r="CO30" i="6"/>
  <c r="CO31" i="6"/>
  <c r="CO32" i="6"/>
  <c r="GP12" i="6"/>
  <c r="GQ13" i="6"/>
  <c r="GP18" i="6"/>
  <c r="GP19" i="6"/>
  <c r="GP21" i="6"/>
  <c r="GP23" i="6"/>
  <c r="GP24" i="6"/>
  <c r="GP26" i="6"/>
  <c r="GP27" i="6"/>
  <c r="GP29" i="6"/>
  <c r="GP31" i="6"/>
  <c r="GP30" i="6"/>
  <c r="GP32" i="6"/>
  <c r="CN15" i="6"/>
  <c r="AO15" i="6" s="1"/>
  <c r="AA23" i="11"/>
  <c r="Z14" i="11"/>
  <c r="Z23" i="11" s="1"/>
  <c r="AE14" i="11" s="1"/>
  <c r="M14" i="11" s="1"/>
  <c r="AH11" i="9"/>
  <c r="AI12" i="9"/>
  <c r="AI12" i="10"/>
  <c r="AH11" i="10"/>
  <c r="AV13" i="6"/>
  <c r="ER12" i="6" l="1"/>
  <c r="ER19" i="6"/>
  <c r="ER26" i="6"/>
  <c r="ER30" i="6"/>
  <c r="ES13" i="6"/>
  <c r="ER21" i="6"/>
  <c r="ER27" i="6"/>
  <c r="ER32" i="6"/>
  <c r="ER14" i="6"/>
  <c r="ER29" i="6"/>
  <c r="ER23" i="6"/>
  <c r="ER24" i="6"/>
  <c r="ER18" i="6"/>
  <c r="ER31" i="6"/>
  <c r="M23" i="11"/>
  <c r="L14" i="11"/>
  <c r="L23" i="11" s="1"/>
  <c r="AJ12" i="9"/>
  <c r="AI11" i="9"/>
  <c r="CO15" i="6"/>
  <c r="AP15" i="6" s="1"/>
  <c r="GR13" i="6"/>
  <c r="GQ12" i="6"/>
  <c r="GQ18" i="6"/>
  <c r="GQ19" i="6"/>
  <c r="GQ21" i="6"/>
  <c r="GQ23" i="6"/>
  <c r="GQ24" i="6"/>
  <c r="GQ26" i="6"/>
  <c r="GQ27" i="6"/>
  <c r="GQ29" i="6"/>
  <c r="GQ31" i="6"/>
  <c r="GQ32" i="6"/>
  <c r="GQ30" i="6"/>
  <c r="CP14" i="6"/>
  <c r="CP16" i="6"/>
  <c r="CP17" i="6"/>
  <c r="CP18" i="6"/>
  <c r="CP19" i="6"/>
  <c r="CP20" i="6"/>
  <c r="CP21" i="6"/>
  <c r="CP22" i="6"/>
  <c r="CP23" i="6"/>
  <c r="CP24" i="6"/>
  <c r="CP25" i="6"/>
  <c r="CP26" i="6"/>
  <c r="CP27" i="6"/>
  <c r="CP28" i="6"/>
  <c r="CP29" i="6"/>
  <c r="CP30" i="6"/>
  <c r="CP31" i="6"/>
  <c r="CP32" i="6"/>
  <c r="AW13" i="6"/>
  <c r="AJ12" i="10"/>
  <c r="AI11" i="10"/>
  <c r="CR13" i="6"/>
  <c r="CQ12" i="6"/>
  <c r="ET13" i="6" l="1"/>
  <c r="ES21" i="6"/>
  <c r="ES27" i="6"/>
  <c r="ES32" i="6"/>
  <c r="ES14" i="6"/>
  <c r="ES23" i="6"/>
  <c r="ES29" i="6"/>
  <c r="ES18" i="6"/>
  <c r="ES24" i="6"/>
  <c r="ES31" i="6"/>
  <c r="ES12" i="6"/>
  <c r="ES19" i="6"/>
  <c r="ES26" i="6"/>
  <c r="ES30" i="6"/>
  <c r="AK12" i="9"/>
  <c r="AJ11" i="9"/>
  <c r="L10" i="11"/>
  <c r="M10" i="13" s="1"/>
  <c r="L24" i="11"/>
  <c r="L24" i="13"/>
  <c r="D30" i="14" s="1"/>
  <c r="AJ11" i="10"/>
  <c r="AK12" i="10"/>
  <c r="AX13" i="6"/>
  <c r="CQ14" i="6"/>
  <c r="CQ16" i="6"/>
  <c r="CQ17" i="6"/>
  <c r="CQ18" i="6"/>
  <c r="CQ19" i="6"/>
  <c r="CQ20" i="6"/>
  <c r="CQ21" i="6"/>
  <c r="CQ22" i="6"/>
  <c r="CQ23" i="6"/>
  <c r="CQ24" i="6"/>
  <c r="CQ25" i="6"/>
  <c r="CQ26" i="6"/>
  <c r="CQ27" i="6"/>
  <c r="CQ28" i="6"/>
  <c r="CQ29" i="6"/>
  <c r="CQ30" i="6"/>
  <c r="CQ31" i="6"/>
  <c r="CQ32" i="6"/>
  <c r="CP15" i="6"/>
  <c r="AQ15" i="6" s="1"/>
  <c r="CS13" i="6"/>
  <c r="CR12" i="6"/>
  <c r="GR12" i="6"/>
  <c r="GS13" i="6"/>
  <c r="GR18" i="6"/>
  <c r="GR19" i="6"/>
  <c r="GR21" i="6"/>
  <c r="GR23" i="6"/>
  <c r="GR24" i="6"/>
  <c r="GR26" i="6"/>
  <c r="GR27" i="6"/>
  <c r="GR29" i="6"/>
  <c r="GR31" i="6"/>
  <c r="GR30" i="6"/>
  <c r="GR32" i="6"/>
  <c r="M10" i="11"/>
  <c r="N10" i="13" s="1"/>
  <c r="M24" i="11"/>
  <c r="G9" i="11" s="1"/>
  <c r="L25" i="13"/>
  <c r="D31" i="14" s="1"/>
  <c r="ET12" i="6" l="1"/>
  <c r="ET19" i="6"/>
  <c r="ET26" i="6"/>
  <c r="ET32" i="6"/>
  <c r="ET31" i="6"/>
  <c r="EU13" i="6"/>
  <c r="ET21" i="6"/>
  <c r="ET27" i="6"/>
  <c r="ET30" i="6"/>
  <c r="ET23" i="6"/>
  <c r="ET24" i="6"/>
  <c r="ET14" i="6"/>
  <c r="ET29" i="6"/>
  <c r="ET18" i="6"/>
  <c r="GS12" i="6"/>
  <c r="GT13" i="6"/>
  <c r="GS18" i="6"/>
  <c r="GS19" i="6"/>
  <c r="GS21" i="6"/>
  <c r="GS24" i="6"/>
  <c r="GS23" i="6"/>
  <c r="GS26" i="6"/>
  <c r="GS27" i="6"/>
  <c r="GS29" i="6"/>
  <c r="GS31" i="6"/>
  <c r="GS30" i="6"/>
  <c r="GS32" i="6"/>
  <c r="CR16" i="6"/>
  <c r="CR14" i="6"/>
  <c r="CR17" i="6"/>
  <c r="CR18" i="6"/>
  <c r="CR19" i="6"/>
  <c r="CR20" i="6"/>
  <c r="CR21" i="6"/>
  <c r="CR22" i="6"/>
  <c r="CR23" i="6"/>
  <c r="CR24" i="6"/>
  <c r="CR25" i="6"/>
  <c r="CR26" i="6"/>
  <c r="CR27" i="6"/>
  <c r="CR28" i="6"/>
  <c r="CR29" i="6"/>
  <c r="CR30" i="6"/>
  <c r="CR31" i="6"/>
  <c r="CR32" i="6"/>
  <c r="CQ15" i="6"/>
  <c r="AR15" i="6" s="1"/>
  <c r="AL12" i="10"/>
  <c r="AK11" i="10"/>
  <c r="CS12" i="6"/>
  <c r="CT13" i="6"/>
  <c r="AY13" i="6"/>
  <c r="AL12" i="9"/>
  <c r="AK11" i="9"/>
  <c r="EU14" i="6" l="1"/>
  <c r="EU23" i="6"/>
  <c r="EU29" i="6"/>
  <c r="EU18" i="6"/>
  <c r="EU24" i="6"/>
  <c r="EU31" i="6"/>
  <c r="EV13" i="6"/>
  <c r="EU19" i="6"/>
  <c r="EU26" i="6"/>
  <c r="EU32" i="6"/>
  <c r="EU12" i="6"/>
  <c r="EU21" i="6"/>
  <c r="EU27" i="6"/>
  <c r="EU30" i="6"/>
  <c r="CR15" i="6"/>
  <c r="AS15" i="6" s="1"/>
  <c r="GU13" i="6"/>
  <c r="GT12" i="6"/>
  <c r="GT18" i="6"/>
  <c r="GT19" i="6"/>
  <c r="GT21" i="6"/>
  <c r="GT23" i="6"/>
  <c r="GT24" i="6"/>
  <c r="GT26" i="6"/>
  <c r="GT27" i="6"/>
  <c r="GT29" i="6"/>
  <c r="GT31" i="6"/>
  <c r="GT30" i="6"/>
  <c r="GT32" i="6"/>
  <c r="CT12" i="6"/>
  <c r="CU13" i="6"/>
  <c r="AL11" i="9"/>
  <c r="AM12" i="9"/>
  <c r="CS16" i="6"/>
  <c r="CS14" i="6"/>
  <c r="CS17" i="6"/>
  <c r="CS18" i="6"/>
  <c r="CS19" i="6"/>
  <c r="CS20" i="6"/>
  <c r="CS21" i="6"/>
  <c r="CS22" i="6"/>
  <c r="CS23" i="6"/>
  <c r="CS24" i="6"/>
  <c r="CS25" i="6"/>
  <c r="CS26" i="6"/>
  <c r="CS27" i="6"/>
  <c r="CS28" i="6"/>
  <c r="CS29" i="6"/>
  <c r="CS30" i="6"/>
  <c r="CS31" i="6"/>
  <c r="CS32" i="6"/>
  <c r="AZ13" i="6"/>
  <c r="AM12" i="10"/>
  <c r="AL11" i="10"/>
  <c r="EV12" i="6" l="1"/>
  <c r="EV21" i="6"/>
  <c r="EV27" i="6"/>
  <c r="EV30" i="6"/>
  <c r="EV14" i="6"/>
  <c r="EV23" i="6"/>
  <c r="EV29" i="6"/>
  <c r="EV19" i="6"/>
  <c r="EV32" i="6"/>
  <c r="EV18" i="6"/>
  <c r="EV24" i="6"/>
  <c r="EV31" i="6"/>
  <c r="EW13" i="6"/>
  <c r="EV26" i="6"/>
  <c r="AN12" i="10"/>
  <c r="AM11" i="10"/>
  <c r="CS15" i="6"/>
  <c r="AT15" i="6" s="1"/>
  <c r="CT14" i="6"/>
  <c r="CT16" i="6"/>
  <c r="CT17" i="6"/>
  <c r="CT18" i="6"/>
  <c r="CT19" i="6"/>
  <c r="CT20" i="6"/>
  <c r="CT21" i="6"/>
  <c r="CT22" i="6"/>
  <c r="CT23" i="6"/>
  <c r="CT24" i="6"/>
  <c r="CT25" i="6"/>
  <c r="CT26" i="6"/>
  <c r="CT27" i="6"/>
  <c r="CT28" i="6"/>
  <c r="CT29" i="6"/>
  <c r="CT30" i="6"/>
  <c r="CT31" i="6"/>
  <c r="CT32" i="6"/>
  <c r="BA13" i="6"/>
  <c r="AM11" i="9"/>
  <c r="AN12" i="9"/>
  <c r="GU12" i="6"/>
  <c r="GV13" i="6"/>
  <c r="GU18" i="6"/>
  <c r="GU19" i="6"/>
  <c r="GU21" i="6"/>
  <c r="GU23" i="6"/>
  <c r="GU24" i="6"/>
  <c r="GU26" i="6"/>
  <c r="GU27" i="6"/>
  <c r="GU29" i="6"/>
  <c r="GU31" i="6"/>
  <c r="GU30" i="6"/>
  <c r="GU32" i="6"/>
  <c r="CV13" i="6"/>
  <c r="CU12" i="6"/>
  <c r="EW12" i="6" l="1"/>
  <c r="EW21" i="6"/>
  <c r="EW27" i="6"/>
  <c r="EW32" i="6"/>
  <c r="EW23" i="6"/>
  <c r="EW29" i="6"/>
  <c r="EW18" i="6"/>
  <c r="EX13" i="6"/>
  <c r="EW26" i="6"/>
  <c r="EW14" i="6"/>
  <c r="EW24" i="6"/>
  <c r="EW30" i="6"/>
  <c r="EW31" i="6"/>
  <c r="EW19" i="6"/>
  <c r="AN11" i="9"/>
  <c r="AO12" i="9"/>
  <c r="CU16" i="6"/>
  <c r="CU14" i="6"/>
  <c r="CU17" i="6"/>
  <c r="CU18" i="6"/>
  <c r="CU19" i="6"/>
  <c r="CU20" i="6"/>
  <c r="CU21" i="6"/>
  <c r="CU22" i="6"/>
  <c r="CU23" i="6"/>
  <c r="CU24" i="6"/>
  <c r="CU25" i="6"/>
  <c r="CU26" i="6"/>
  <c r="CU27" i="6"/>
  <c r="CU28" i="6"/>
  <c r="CU29" i="6"/>
  <c r="CU30" i="6"/>
  <c r="CU31" i="6"/>
  <c r="CU32" i="6"/>
  <c r="CW13" i="6"/>
  <c r="CV12" i="6"/>
  <c r="GW13" i="6"/>
  <c r="GV12" i="6"/>
  <c r="GV18" i="6"/>
  <c r="GV19" i="6"/>
  <c r="GV21" i="6"/>
  <c r="GV23" i="6"/>
  <c r="GV24" i="6"/>
  <c r="GV26" i="6"/>
  <c r="GV27" i="6"/>
  <c r="GV29" i="6"/>
  <c r="GV31" i="6"/>
  <c r="GV30" i="6"/>
  <c r="GV32" i="6"/>
  <c r="CT15" i="6"/>
  <c r="AU15" i="6" s="1"/>
  <c r="BB13" i="6"/>
  <c r="AN11" i="10"/>
  <c r="AO12" i="10"/>
  <c r="EX12" i="6" l="1"/>
  <c r="EX21" i="6"/>
  <c r="EX27" i="6"/>
  <c r="EX30" i="6"/>
  <c r="EX32" i="6"/>
  <c r="EX14" i="6"/>
  <c r="EX23" i="6"/>
  <c r="EX29" i="6"/>
  <c r="EX18" i="6"/>
  <c r="EX31" i="6"/>
  <c r="EY13" i="6"/>
  <c r="EX26" i="6"/>
  <c r="EX24" i="6"/>
  <c r="EX19" i="6"/>
  <c r="BC13" i="6"/>
  <c r="CV14" i="6"/>
  <c r="CV16" i="6"/>
  <c r="CV17" i="6"/>
  <c r="CV18" i="6"/>
  <c r="CV19" i="6"/>
  <c r="CV20" i="6"/>
  <c r="CV21" i="6"/>
  <c r="CV22" i="6"/>
  <c r="CV23" i="6"/>
  <c r="CV24" i="6"/>
  <c r="CV25" i="6"/>
  <c r="CV26" i="6"/>
  <c r="CV27" i="6"/>
  <c r="CV28" i="6"/>
  <c r="CV29" i="6"/>
  <c r="CV30" i="6"/>
  <c r="CV31" i="6"/>
  <c r="CV32" i="6"/>
  <c r="CX13" i="6"/>
  <c r="CW12" i="6"/>
  <c r="CU15" i="6"/>
  <c r="AV15" i="6" s="1"/>
  <c r="AO11" i="10"/>
  <c r="AP12" i="10"/>
  <c r="AO11" i="9"/>
  <c r="AP12" i="9"/>
  <c r="GW12" i="6"/>
  <c r="GX13" i="6"/>
  <c r="GW18" i="6"/>
  <c r="GW21" i="6"/>
  <c r="GW19" i="6"/>
  <c r="GW23" i="6"/>
  <c r="GW24" i="6"/>
  <c r="GW26" i="6"/>
  <c r="GW27" i="6"/>
  <c r="GW29" i="6"/>
  <c r="GW31" i="6"/>
  <c r="GW30" i="6"/>
  <c r="GW32" i="6"/>
  <c r="EY14" i="6" l="1"/>
  <c r="EY23" i="6"/>
  <c r="EY29" i="6"/>
  <c r="EY18" i="6"/>
  <c r="EY24" i="6"/>
  <c r="EY31" i="6"/>
  <c r="EZ13" i="6"/>
  <c r="EY19" i="6"/>
  <c r="EY26" i="6"/>
  <c r="EY32" i="6"/>
  <c r="EY12" i="6"/>
  <c r="EY21" i="6"/>
  <c r="EY27" i="6"/>
  <c r="EY30" i="6"/>
  <c r="CV15" i="6"/>
  <c r="AW15" i="6" s="1"/>
  <c r="AP11" i="9"/>
  <c r="AQ12" i="9"/>
  <c r="GX12" i="6"/>
  <c r="GY13" i="6"/>
  <c r="GX18" i="6"/>
  <c r="GX19" i="6"/>
  <c r="GX21" i="6"/>
  <c r="GX23" i="6"/>
  <c r="GX24" i="6"/>
  <c r="GX26" i="6"/>
  <c r="GX27" i="6"/>
  <c r="GX29" i="6"/>
  <c r="GX31" i="6"/>
  <c r="GX30" i="6"/>
  <c r="GX32" i="6"/>
  <c r="AP11" i="10"/>
  <c r="AQ12" i="10"/>
  <c r="CW14" i="6"/>
  <c r="CW16" i="6"/>
  <c r="CW17" i="6"/>
  <c r="CW18" i="6"/>
  <c r="CW19" i="6"/>
  <c r="CW20" i="6"/>
  <c r="CW21" i="6"/>
  <c r="CW22" i="6"/>
  <c r="CW23" i="6"/>
  <c r="CW24" i="6"/>
  <c r="CW25" i="6"/>
  <c r="CW26" i="6"/>
  <c r="CW27" i="6"/>
  <c r="CW28" i="6"/>
  <c r="CW29" i="6"/>
  <c r="CW30" i="6"/>
  <c r="CW31" i="6"/>
  <c r="CW32" i="6"/>
  <c r="BD13" i="6"/>
  <c r="CX12" i="6"/>
  <c r="CY13" i="6"/>
  <c r="EZ23" i="6" l="1"/>
  <c r="FA13" i="6"/>
  <c r="EZ26" i="6"/>
  <c r="EZ12" i="6"/>
  <c r="EZ19" i="6"/>
  <c r="EZ27" i="6"/>
  <c r="EZ32" i="6"/>
  <c r="EZ14" i="6"/>
  <c r="EZ29" i="6"/>
  <c r="EZ18" i="6"/>
  <c r="EZ31" i="6"/>
  <c r="EZ24" i="6"/>
  <c r="EZ21" i="6"/>
  <c r="EZ30" i="6"/>
  <c r="BE13" i="6"/>
  <c r="GY12" i="6"/>
  <c r="GZ13" i="6"/>
  <c r="GY18" i="6"/>
  <c r="GY21" i="6"/>
  <c r="GY19" i="6"/>
  <c r="GY23" i="6"/>
  <c r="GY24" i="6"/>
  <c r="GY26" i="6"/>
  <c r="GY27" i="6"/>
  <c r="GY29" i="6"/>
  <c r="GY31" i="6"/>
  <c r="GY30" i="6"/>
  <c r="GY32" i="6"/>
  <c r="AQ11" i="9"/>
  <c r="AR12" i="9"/>
  <c r="CY12" i="6"/>
  <c r="CZ13" i="6"/>
  <c r="CW15" i="6"/>
  <c r="AX15" i="6" s="1"/>
  <c r="CX14" i="6"/>
  <c r="CX16" i="6"/>
  <c r="CX17" i="6"/>
  <c r="CX18" i="6"/>
  <c r="CX19" i="6"/>
  <c r="CX20" i="6"/>
  <c r="CX21" i="6"/>
  <c r="CX22" i="6"/>
  <c r="CX23" i="6"/>
  <c r="CX24" i="6"/>
  <c r="CX25" i="6"/>
  <c r="CX26" i="6"/>
  <c r="CX27" i="6"/>
  <c r="CX28" i="6"/>
  <c r="CX29" i="6"/>
  <c r="CX30" i="6"/>
  <c r="CX31" i="6"/>
  <c r="CX32" i="6"/>
  <c r="AR12" i="10"/>
  <c r="AQ11" i="10"/>
  <c r="FA12" i="6" l="1"/>
  <c r="FA19" i="6"/>
  <c r="FA27" i="6"/>
  <c r="FA30" i="6"/>
  <c r="FA14" i="6"/>
  <c r="FA23" i="6"/>
  <c r="FA29" i="6"/>
  <c r="FA18" i="6"/>
  <c r="FA24" i="6"/>
  <c r="FA31" i="6"/>
  <c r="FB13" i="6"/>
  <c r="FA21" i="6"/>
  <c r="FA26" i="6"/>
  <c r="FA32" i="6"/>
  <c r="AS12" i="10"/>
  <c r="AR11" i="10"/>
  <c r="CX15" i="6"/>
  <c r="AY15" i="6" s="1"/>
  <c r="HA13" i="6"/>
  <c r="GZ12" i="6"/>
  <c r="GZ18" i="6"/>
  <c r="GZ19" i="6"/>
  <c r="GZ21" i="6"/>
  <c r="GZ23" i="6"/>
  <c r="GZ24" i="6"/>
  <c r="GZ26" i="6"/>
  <c r="GZ27" i="6"/>
  <c r="GZ29" i="6"/>
  <c r="GZ31" i="6"/>
  <c r="GZ32" i="6"/>
  <c r="GZ30" i="6"/>
  <c r="DA13" i="6"/>
  <c r="CZ12" i="6"/>
  <c r="CY16" i="6"/>
  <c r="CY14" i="6"/>
  <c r="CY17" i="6"/>
  <c r="CY18" i="6"/>
  <c r="CY19" i="6"/>
  <c r="CY20" i="6"/>
  <c r="CY21" i="6"/>
  <c r="CY22" i="6"/>
  <c r="CY23" i="6"/>
  <c r="CY24" i="6"/>
  <c r="CY25" i="6"/>
  <c r="CY26" i="6"/>
  <c r="CY27" i="6"/>
  <c r="CY28" i="6"/>
  <c r="CY29" i="6"/>
  <c r="CY30" i="6"/>
  <c r="CY31" i="6"/>
  <c r="CY32" i="6"/>
  <c r="BF13" i="6"/>
  <c r="AR11" i="9"/>
  <c r="AS12" i="9"/>
  <c r="FB14" i="6" l="1"/>
  <c r="FB23" i="6"/>
  <c r="FB29" i="6"/>
  <c r="FB12" i="6"/>
  <c r="FB27" i="6"/>
  <c r="FB18" i="6"/>
  <c r="FB24" i="6"/>
  <c r="FB31" i="6"/>
  <c r="FC13" i="6"/>
  <c r="FB21" i="6"/>
  <c r="FB30" i="6"/>
  <c r="FB19" i="6"/>
  <c r="FB26" i="6"/>
  <c r="FB32" i="6"/>
  <c r="DB13" i="6"/>
  <c r="DA12" i="6"/>
  <c r="HA12" i="6"/>
  <c r="HB13" i="6"/>
  <c r="HA18" i="6"/>
  <c r="HA19" i="6"/>
  <c r="HA21" i="6"/>
  <c r="HA23" i="6"/>
  <c r="HA24" i="6"/>
  <c r="HA26" i="6"/>
  <c r="HA27" i="6"/>
  <c r="HA29" i="6"/>
  <c r="HA31" i="6"/>
  <c r="HA30" i="6"/>
  <c r="HA32" i="6"/>
  <c r="AS11" i="9"/>
  <c r="AT12" i="9"/>
  <c r="CY15" i="6"/>
  <c r="AZ15" i="6" s="1"/>
  <c r="BG13" i="6"/>
  <c r="CZ14" i="6"/>
  <c r="CZ16" i="6"/>
  <c r="CZ17" i="6"/>
  <c r="CZ18" i="6"/>
  <c r="CZ19" i="6"/>
  <c r="CZ20" i="6"/>
  <c r="CZ21" i="6"/>
  <c r="CZ22" i="6"/>
  <c r="CZ23" i="6"/>
  <c r="CZ24" i="6"/>
  <c r="CZ25" i="6"/>
  <c r="CZ26" i="6"/>
  <c r="CZ27" i="6"/>
  <c r="CZ28" i="6"/>
  <c r="CZ29" i="6"/>
  <c r="CZ30" i="6"/>
  <c r="CZ31" i="6"/>
  <c r="CZ32" i="6"/>
  <c r="AS11" i="10"/>
  <c r="AT12" i="10"/>
  <c r="FC18" i="6" l="1"/>
  <c r="FC24" i="6"/>
  <c r="FC31" i="6"/>
  <c r="FC27" i="6"/>
  <c r="FC23" i="6"/>
  <c r="FD13" i="6"/>
  <c r="FC19" i="6"/>
  <c r="FC26" i="6"/>
  <c r="FC30" i="6"/>
  <c r="FC12" i="6"/>
  <c r="FC21" i="6"/>
  <c r="FC32" i="6"/>
  <c r="FC14" i="6"/>
  <c r="FC29" i="6"/>
  <c r="HC13" i="6"/>
  <c r="HB12" i="6"/>
  <c r="HB18" i="6"/>
  <c r="HB19" i="6"/>
  <c r="HB21" i="6"/>
  <c r="HB23" i="6"/>
  <c r="HB24" i="6"/>
  <c r="HB26" i="6"/>
  <c r="HB27" i="6"/>
  <c r="HB29" i="6"/>
  <c r="HB31" i="6"/>
  <c r="HB30" i="6"/>
  <c r="HB32" i="6"/>
  <c r="BH13" i="6"/>
  <c r="AU12" i="10"/>
  <c r="AT11" i="10"/>
  <c r="CZ15" i="6"/>
  <c r="BA15" i="6" s="1"/>
  <c r="DA14" i="6"/>
  <c r="DA16" i="6"/>
  <c r="DA17" i="6"/>
  <c r="DA18" i="6"/>
  <c r="DA19" i="6"/>
  <c r="DA20" i="6"/>
  <c r="DA21" i="6"/>
  <c r="DA22" i="6"/>
  <c r="DA23" i="6"/>
  <c r="DA24" i="6"/>
  <c r="DA25" i="6"/>
  <c r="DA26" i="6"/>
  <c r="DA27" i="6"/>
  <c r="DA28" i="6"/>
  <c r="DA29" i="6"/>
  <c r="DA30" i="6"/>
  <c r="DA31" i="6"/>
  <c r="DA32" i="6"/>
  <c r="AU12" i="9"/>
  <c r="AT11" i="9"/>
  <c r="DC13" i="6"/>
  <c r="DB12" i="6"/>
  <c r="FD18" i="6" l="1"/>
  <c r="FD24" i="6"/>
  <c r="FD31" i="6"/>
  <c r="FD14" i="6"/>
  <c r="FD23" i="6"/>
  <c r="FE13" i="6"/>
  <c r="FD19" i="6"/>
  <c r="FD26" i="6"/>
  <c r="FD30" i="6"/>
  <c r="FD12" i="6"/>
  <c r="FD21" i="6"/>
  <c r="FD27" i="6"/>
  <c r="FD32" i="6"/>
  <c r="FD29" i="6"/>
  <c r="DC12" i="6"/>
  <c r="DD13" i="6"/>
  <c r="DA15" i="6"/>
  <c r="BB15" i="6" s="1"/>
  <c r="BI13" i="6"/>
  <c r="AV12" i="9"/>
  <c r="AU11" i="9"/>
  <c r="AU11" i="10"/>
  <c r="AV12" i="10"/>
  <c r="DB16" i="6"/>
  <c r="DB14" i="6"/>
  <c r="DB17" i="6"/>
  <c r="DB18" i="6"/>
  <c r="DB19" i="6"/>
  <c r="DB20" i="6"/>
  <c r="DB21" i="6"/>
  <c r="DB22" i="6"/>
  <c r="DB23" i="6"/>
  <c r="DB24" i="6"/>
  <c r="DB25" i="6"/>
  <c r="DB26" i="6"/>
  <c r="DB27" i="6"/>
  <c r="DB28" i="6"/>
  <c r="DB29" i="6"/>
  <c r="DB30" i="6"/>
  <c r="DB31" i="6"/>
  <c r="DB32" i="6"/>
  <c r="HD13" i="6"/>
  <c r="HC12" i="6"/>
  <c r="HC18" i="6"/>
  <c r="HC19" i="6"/>
  <c r="HC21" i="6"/>
  <c r="HC23" i="6"/>
  <c r="HC24" i="6"/>
  <c r="HC26" i="6"/>
  <c r="HC27" i="6"/>
  <c r="HC29" i="6"/>
  <c r="HC31" i="6"/>
  <c r="HC32" i="6"/>
  <c r="HC30" i="6"/>
  <c r="FE18" i="6" l="1"/>
  <c r="FE24" i="6"/>
  <c r="FE31" i="6"/>
  <c r="FE21" i="6"/>
  <c r="FE30" i="6"/>
  <c r="FE23" i="6"/>
  <c r="FF13" i="6"/>
  <c r="FE19" i="6"/>
  <c r="FE26" i="6"/>
  <c r="FE32" i="6"/>
  <c r="FE27" i="6"/>
  <c r="FE14" i="6"/>
  <c r="FE12" i="6"/>
  <c r="FE29" i="6"/>
  <c r="AW12" i="10"/>
  <c r="AV11" i="10"/>
  <c r="HE13" i="6"/>
  <c r="HD12" i="6"/>
  <c r="HD18" i="6"/>
  <c r="HD19" i="6"/>
  <c r="HD21" i="6"/>
  <c r="HD24" i="6"/>
  <c r="HD23" i="6"/>
  <c r="HD26" i="6"/>
  <c r="HD27" i="6"/>
  <c r="HD29" i="6"/>
  <c r="HD31" i="6"/>
  <c r="HD30" i="6"/>
  <c r="HD32" i="6"/>
  <c r="DE13" i="6"/>
  <c r="DD12" i="6"/>
  <c r="DB15" i="6"/>
  <c r="BC15" i="6" s="1"/>
  <c r="AV11" i="9"/>
  <c r="AW12" i="9"/>
  <c r="BJ13" i="6"/>
  <c r="DC14" i="6"/>
  <c r="DC16" i="6"/>
  <c r="DC17" i="6"/>
  <c r="DC18" i="6"/>
  <c r="DC19" i="6"/>
  <c r="DC20" i="6"/>
  <c r="DC21" i="6"/>
  <c r="DC22" i="6"/>
  <c r="DC23" i="6"/>
  <c r="DC24" i="6"/>
  <c r="DC25" i="6"/>
  <c r="DC26" i="6"/>
  <c r="DC27" i="6"/>
  <c r="DC28" i="6"/>
  <c r="DC29" i="6"/>
  <c r="DC30" i="6"/>
  <c r="DC31" i="6"/>
  <c r="DC32" i="6"/>
  <c r="FF18" i="6" l="1"/>
  <c r="FF24" i="6"/>
  <c r="FF31" i="6"/>
  <c r="FF12" i="6"/>
  <c r="FF27" i="6"/>
  <c r="FF23" i="6"/>
  <c r="FG13" i="6"/>
  <c r="FF19" i="6"/>
  <c r="FF26" i="6"/>
  <c r="FF32" i="6"/>
  <c r="FF21" i="6"/>
  <c r="FF30" i="6"/>
  <c r="FF14" i="6"/>
  <c r="FF29" i="6"/>
  <c r="AW11" i="9"/>
  <c r="AX12" i="9"/>
  <c r="DD16" i="6"/>
  <c r="DD14" i="6"/>
  <c r="DD17" i="6"/>
  <c r="DD18" i="6"/>
  <c r="DD19" i="6"/>
  <c r="DD20" i="6"/>
  <c r="DD21" i="6"/>
  <c r="DD22" i="6"/>
  <c r="DD23" i="6"/>
  <c r="DD24" i="6"/>
  <c r="DD25" i="6"/>
  <c r="DD26" i="6"/>
  <c r="DD27" i="6"/>
  <c r="DD28" i="6"/>
  <c r="DD29" i="6"/>
  <c r="DD30" i="6"/>
  <c r="DD31" i="6"/>
  <c r="DD32" i="6"/>
  <c r="HE12" i="6"/>
  <c r="HF13" i="6"/>
  <c r="HE18" i="6"/>
  <c r="HE19" i="6"/>
  <c r="HE21" i="6"/>
  <c r="HE23" i="6"/>
  <c r="HE24" i="6"/>
  <c r="HE26" i="6"/>
  <c r="HE27" i="6"/>
  <c r="HE29" i="6"/>
  <c r="HE31" i="6"/>
  <c r="HE30" i="6"/>
  <c r="HE32" i="6"/>
  <c r="DC15" i="6"/>
  <c r="BD15" i="6" s="1"/>
  <c r="BK13" i="6"/>
  <c r="DF13" i="6"/>
  <c r="DE12" i="6"/>
  <c r="AW11" i="10"/>
  <c r="AX12" i="10"/>
  <c r="FH13" i="6" l="1"/>
  <c r="FG21" i="6"/>
  <c r="FG27" i="6"/>
  <c r="FG32" i="6"/>
  <c r="FG18" i="6"/>
  <c r="FG24" i="6"/>
  <c r="FG19" i="6"/>
  <c r="FG30" i="6"/>
  <c r="FG14" i="6"/>
  <c r="FG23" i="6"/>
  <c r="FG29" i="6"/>
  <c r="FG31" i="6"/>
  <c r="FG12" i="6"/>
  <c r="FG26" i="6"/>
  <c r="DF12" i="6"/>
  <c r="DG13" i="6"/>
  <c r="HF12" i="6"/>
  <c r="HG13" i="6"/>
  <c r="HF18" i="6"/>
  <c r="HF19" i="6"/>
  <c r="HF21" i="6"/>
  <c r="HF23" i="6"/>
  <c r="HF24" i="6"/>
  <c r="HF26" i="6"/>
  <c r="HF27" i="6"/>
  <c r="HF29" i="6"/>
  <c r="HF31" i="6"/>
  <c r="HF32" i="6"/>
  <c r="HF30" i="6"/>
  <c r="AX11" i="9"/>
  <c r="AY12" i="9"/>
  <c r="DD15" i="6"/>
  <c r="BE15" i="6" s="1"/>
  <c r="BL13" i="6"/>
  <c r="AX11" i="10"/>
  <c r="AY12" i="10"/>
  <c r="DE16" i="6"/>
  <c r="DE14" i="6"/>
  <c r="DE17" i="6"/>
  <c r="DE18" i="6"/>
  <c r="DE19" i="6"/>
  <c r="DE20" i="6"/>
  <c r="DE21" i="6"/>
  <c r="DE22" i="6"/>
  <c r="DE23" i="6"/>
  <c r="DE24" i="6"/>
  <c r="DE25" i="6"/>
  <c r="DE26" i="6"/>
  <c r="DE27" i="6"/>
  <c r="DE28" i="6"/>
  <c r="DE29" i="6"/>
  <c r="DE30" i="6"/>
  <c r="DE31" i="6"/>
  <c r="DE32" i="6"/>
  <c r="FI13" i="6" l="1"/>
  <c r="FH21" i="6"/>
  <c r="FH27" i="6"/>
  <c r="FH32" i="6"/>
  <c r="FH26" i="6"/>
  <c r="FH14" i="6"/>
  <c r="FH23" i="6"/>
  <c r="FH29" i="6"/>
  <c r="FH12" i="6"/>
  <c r="FH19" i="6"/>
  <c r="FH30" i="6"/>
  <c r="FH18" i="6"/>
  <c r="FH24" i="6"/>
  <c r="FH31" i="6"/>
  <c r="HG12" i="6"/>
  <c r="HH13" i="6"/>
  <c r="HG18" i="6"/>
  <c r="HG19" i="6"/>
  <c r="HG21" i="6"/>
  <c r="HG23" i="6"/>
  <c r="HG24" i="6"/>
  <c r="HG26" i="6"/>
  <c r="HG27" i="6"/>
  <c r="HG29" i="6"/>
  <c r="HG31" i="6"/>
  <c r="HG30" i="6"/>
  <c r="HG32" i="6"/>
  <c r="BM13" i="6"/>
  <c r="DH13" i="6"/>
  <c r="DG12" i="6"/>
  <c r="AZ12" i="10"/>
  <c r="AY11" i="10"/>
  <c r="DE15" i="6"/>
  <c r="BF15" i="6" s="1"/>
  <c r="AZ12" i="9"/>
  <c r="AY11" i="9"/>
  <c r="DF14" i="6"/>
  <c r="DF16" i="6"/>
  <c r="DF17" i="6"/>
  <c r="DF18" i="6"/>
  <c r="DF19" i="6"/>
  <c r="DF20" i="6"/>
  <c r="DF21" i="6"/>
  <c r="DF22" i="6"/>
  <c r="DF23" i="6"/>
  <c r="DF24" i="6"/>
  <c r="DF25" i="6"/>
  <c r="DF26" i="6"/>
  <c r="DF27" i="6"/>
  <c r="DF28" i="6"/>
  <c r="DF29" i="6"/>
  <c r="DF30" i="6"/>
  <c r="DF31" i="6"/>
  <c r="DF32" i="6"/>
  <c r="FI14" i="6" l="1"/>
  <c r="FI24" i="6"/>
  <c r="FI29" i="6"/>
  <c r="FJ13" i="6"/>
  <c r="FI26" i="6"/>
  <c r="FI27" i="6"/>
  <c r="FI18" i="6"/>
  <c r="FI23" i="6"/>
  <c r="FI31" i="6"/>
  <c r="FI19" i="6"/>
  <c r="FI32" i="6"/>
  <c r="FI12" i="6"/>
  <c r="FI21" i="6"/>
  <c r="FI30" i="6"/>
  <c r="DG16" i="6"/>
  <c r="DG14" i="6"/>
  <c r="DG17" i="6"/>
  <c r="DG18" i="6"/>
  <c r="DG19" i="6"/>
  <c r="DG20" i="6"/>
  <c r="DG21" i="6"/>
  <c r="DG22" i="6"/>
  <c r="DG23" i="6"/>
  <c r="DG24" i="6"/>
  <c r="DG25" i="6"/>
  <c r="DG26" i="6"/>
  <c r="DG27" i="6"/>
  <c r="DG28" i="6"/>
  <c r="DG29" i="6"/>
  <c r="DG30" i="6"/>
  <c r="DG31" i="6"/>
  <c r="DG32" i="6"/>
  <c r="AZ11" i="9"/>
  <c r="BA12" i="9"/>
  <c r="DH12" i="6"/>
  <c r="DI13" i="6"/>
  <c r="DF15" i="6"/>
  <c r="BG15" i="6" s="1"/>
  <c r="BN13" i="6"/>
  <c r="AZ11" i="10"/>
  <c r="BA12" i="10"/>
  <c r="HI13" i="6"/>
  <c r="HH12" i="6"/>
  <c r="HH18" i="6"/>
  <c r="HH21" i="6"/>
  <c r="HH19" i="6"/>
  <c r="HH23" i="6"/>
  <c r="HH24" i="6"/>
  <c r="HH26" i="6"/>
  <c r="HH27" i="6"/>
  <c r="HH29" i="6"/>
  <c r="HH31" i="6"/>
  <c r="HH30" i="6"/>
  <c r="HH32" i="6"/>
  <c r="FJ18" i="6" l="1"/>
  <c r="FJ24" i="6"/>
  <c r="FJ31" i="6"/>
  <c r="FJ29" i="6"/>
  <c r="FJ12" i="6"/>
  <c r="FJ19" i="6"/>
  <c r="FJ26" i="6"/>
  <c r="FJ32" i="6"/>
  <c r="FK13" i="6"/>
  <c r="FJ21" i="6"/>
  <c r="FJ30" i="6"/>
  <c r="FJ23" i="6"/>
  <c r="FJ27" i="6"/>
  <c r="FJ14" i="6"/>
  <c r="BA11" i="9"/>
  <c r="BB12" i="9"/>
  <c r="HJ13" i="6"/>
  <c r="HI12" i="6"/>
  <c r="HI18" i="6"/>
  <c r="HI19" i="6"/>
  <c r="HI21" i="6"/>
  <c r="HI23" i="6"/>
  <c r="HI24" i="6"/>
  <c r="HI26" i="6"/>
  <c r="HI27" i="6"/>
  <c r="HI29" i="6"/>
  <c r="HI31" i="6"/>
  <c r="HI32" i="6"/>
  <c r="HI30" i="6"/>
  <c r="BB12" i="10"/>
  <c r="BA11" i="10"/>
  <c r="DI12" i="6"/>
  <c r="DJ13" i="6"/>
  <c r="DH14" i="6"/>
  <c r="DH16" i="6"/>
  <c r="DH17" i="6"/>
  <c r="DH18" i="6"/>
  <c r="DH19" i="6"/>
  <c r="DH20" i="6"/>
  <c r="DH21" i="6"/>
  <c r="DH22" i="6"/>
  <c r="DH23" i="6"/>
  <c r="DH24" i="6"/>
  <c r="DH25" i="6"/>
  <c r="DH26" i="6"/>
  <c r="DH27" i="6"/>
  <c r="DH28" i="6"/>
  <c r="DH29" i="6"/>
  <c r="DH30" i="6"/>
  <c r="DH31" i="6"/>
  <c r="DH32" i="6"/>
  <c r="DG15" i="6"/>
  <c r="BH15" i="6" s="1"/>
  <c r="FL13" i="6" l="1"/>
  <c r="FK21" i="6"/>
  <c r="FK27" i="6"/>
  <c r="FK30" i="6"/>
  <c r="FK14" i="6"/>
  <c r="FK23" i="6"/>
  <c r="FK29" i="6"/>
  <c r="FK18" i="6"/>
  <c r="FK24" i="6"/>
  <c r="FK31" i="6"/>
  <c r="FK12" i="6"/>
  <c r="FK19" i="6"/>
  <c r="FK26" i="6"/>
  <c r="FK32" i="6"/>
  <c r="DI14" i="6"/>
  <c r="DI16" i="6"/>
  <c r="DI17" i="6"/>
  <c r="DI18" i="6"/>
  <c r="DI19" i="6"/>
  <c r="DI20" i="6"/>
  <c r="DI21" i="6"/>
  <c r="DI22" i="6"/>
  <c r="DI23" i="6"/>
  <c r="DI24" i="6"/>
  <c r="DI25" i="6"/>
  <c r="DI26" i="6"/>
  <c r="DI27" i="6"/>
  <c r="DI28" i="6"/>
  <c r="DI29" i="6"/>
  <c r="DI30" i="6"/>
  <c r="DI31" i="6"/>
  <c r="DI32" i="6"/>
  <c r="HJ12" i="6"/>
  <c r="HK13" i="6"/>
  <c r="HJ18" i="6"/>
  <c r="HJ19" i="6"/>
  <c r="HJ21" i="6"/>
  <c r="HJ23" i="6"/>
  <c r="HJ24" i="6"/>
  <c r="HJ26" i="6"/>
  <c r="HJ27" i="6"/>
  <c r="HJ29" i="6"/>
  <c r="HJ31" i="6"/>
  <c r="HJ30" i="6"/>
  <c r="HJ32" i="6"/>
  <c r="BB11" i="10"/>
  <c r="BC12" i="10"/>
  <c r="DH15" i="6"/>
  <c r="BI15" i="6" s="1"/>
  <c r="BC12" i="9"/>
  <c r="BB11" i="9"/>
  <c r="DK13" i="6"/>
  <c r="DJ12" i="6"/>
  <c r="AM19" i="8" l="1"/>
  <c r="AG19" i="8"/>
  <c r="AB19" i="8"/>
  <c r="V19" i="8"/>
  <c r="D22" i="8"/>
  <c r="D20" i="8" s="1"/>
  <c r="AD22" i="8"/>
  <c r="AD20" i="8" s="1"/>
  <c r="D28" i="8"/>
  <c r="D26" i="8" s="1"/>
  <c r="V28" i="8"/>
  <c r="V26" i="8" s="1"/>
  <c r="AI28" i="8"/>
  <c r="AI26" i="8" s="1"/>
  <c r="X28" i="8"/>
  <c r="X26" i="8" s="1"/>
  <c r="AJ28" i="8"/>
  <c r="AJ26" i="8" s="1"/>
  <c r="AO28" i="8"/>
  <c r="AO26" i="8" s="1"/>
  <c r="W28" i="8"/>
  <c r="W26" i="8" s="1"/>
  <c r="AH28" i="8"/>
  <c r="AH26" i="8" s="1"/>
  <c r="AQ28" i="8"/>
  <c r="AQ26" i="8" s="1"/>
  <c r="AE28" i="8"/>
  <c r="AE26" i="8" s="1"/>
  <c r="AP28" i="8"/>
  <c r="AP26" i="8" s="1"/>
  <c r="AG28" i="8"/>
  <c r="AG26" i="8" s="1"/>
  <c r="Z28" i="8"/>
  <c r="Z26" i="8" s="1"/>
  <c r="FL14" i="6"/>
  <c r="FL23" i="6"/>
  <c r="AP25" i="8" s="1"/>
  <c r="AP23" i="8" s="1"/>
  <c r="FL29" i="6"/>
  <c r="AQ31" i="8" s="1"/>
  <c r="AQ29" i="8" s="1"/>
  <c r="FL18" i="6"/>
  <c r="AI19" i="8" s="1"/>
  <c r="FL24" i="6"/>
  <c r="FL31" i="6"/>
  <c r="AK31" i="8" s="1"/>
  <c r="AK29" i="8" s="1"/>
  <c r="FL19" i="6"/>
  <c r="FL26" i="6"/>
  <c r="AB28" i="8" s="1"/>
  <c r="AB26" i="8" s="1"/>
  <c r="FL30" i="6"/>
  <c r="FL12" i="6"/>
  <c r="FL21" i="6"/>
  <c r="U22" i="8" s="1"/>
  <c r="U20" i="8" s="1"/>
  <c r="FL27" i="6"/>
  <c r="FL32" i="6"/>
  <c r="DJ14" i="6"/>
  <c r="DJ16" i="6"/>
  <c r="DJ17" i="6"/>
  <c r="DJ18" i="6"/>
  <c r="DJ19" i="6"/>
  <c r="DJ20" i="6"/>
  <c r="DJ21" i="6"/>
  <c r="DJ22" i="6"/>
  <c r="DJ23" i="6"/>
  <c r="DJ24" i="6"/>
  <c r="DJ25" i="6"/>
  <c r="DJ26" i="6"/>
  <c r="DJ27" i="6"/>
  <c r="DJ28" i="6"/>
  <c r="DJ29" i="6"/>
  <c r="DJ30" i="6"/>
  <c r="DJ31" i="6"/>
  <c r="DJ32" i="6"/>
  <c r="DL13" i="6"/>
  <c r="DK12" i="6"/>
  <c r="HK12" i="6"/>
  <c r="HK18" i="6"/>
  <c r="HK19" i="6"/>
  <c r="HK21" i="6"/>
  <c r="HK23" i="6"/>
  <c r="HK24" i="6"/>
  <c r="HK26" i="6"/>
  <c r="HK27" i="6"/>
  <c r="HK29" i="6"/>
  <c r="HK31" i="6"/>
  <c r="HK32" i="6"/>
  <c r="HK30" i="6"/>
  <c r="BD12" i="9"/>
  <c r="BD11" i="9" s="1"/>
  <c r="BC11" i="9"/>
  <c r="DI15" i="6"/>
  <c r="BJ15" i="6" s="1"/>
  <c r="BC11" i="10"/>
  <c r="BD12" i="10"/>
  <c r="AI17" i="8" l="1"/>
  <c r="Z25" i="8"/>
  <c r="Z23" i="8" s="1"/>
  <c r="AB17" i="8"/>
  <c r="Y31" i="8"/>
  <c r="Y29" i="8" s="1"/>
  <c r="AC28" i="8"/>
  <c r="AC26" i="8" s="1"/>
  <c r="AL31" i="8"/>
  <c r="AL29" i="8" s="1"/>
  <c r="AP22" i="8"/>
  <c r="AP20" i="8" s="1"/>
  <c r="Y25" i="8"/>
  <c r="Y23" i="8" s="1"/>
  <c r="W25" i="8"/>
  <c r="W23" i="8" s="1"/>
  <c r="AF19" i="8"/>
  <c r="AF17" i="8" s="1"/>
  <c r="AC19" i="8"/>
  <c r="U19" i="8"/>
  <c r="AK19" i="8"/>
  <c r="W31" i="8"/>
  <c r="W29" i="8" s="1"/>
  <c r="AB31" i="8"/>
  <c r="AB29" i="8" s="1"/>
  <c r="AJ31" i="8"/>
  <c r="AJ29" i="8" s="1"/>
  <c r="AO25" i="8"/>
  <c r="AO23" i="8" s="1"/>
  <c r="AH25" i="8"/>
  <c r="AH23" i="8" s="1"/>
  <c r="AE25" i="8"/>
  <c r="AE23" i="8" s="1"/>
  <c r="AL25" i="8"/>
  <c r="AL23" i="8" s="1"/>
  <c r="V25" i="8"/>
  <c r="V23" i="8" s="1"/>
  <c r="AN25" i="8"/>
  <c r="AN23" i="8" s="1"/>
  <c r="X25" i="8"/>
  <c r="X23" i="8" s="1"/>
  <c r="D25" i="8"/>
  <c r="D23" i="8" s="1"/>
  <c r="AD25" i="8"/>
  <c r="AD23" i="8" s="1"/>
  <c r="AF25" i="8"/>
  <c r="AF23" i="8" s="1"/>
  <c r="AQ25" i="8"/>
  <c r="AQ23" i="8" s="1"/>
  <c r="AG25" i="8"/>
  <c r="AG23" i="8" s="1"/>
  <c r="AH31" i="8"/>
  <c r="AH29" i="8" s="1"/>
  <c r="U25" i="8"/>
  <c r="U23" i="8" s="1"/>
  <c r="AM31" i="8"/>
  <c r="AM29" i="8" s="1"/>
  <c r="AM17" i="8"/>
  <c r="AC31" i="8"/>
  <c r="AC29" i="8" s="1"/>
  <c r="X31" i="8"/>
  <c r="X29" i="8" s="1"/>
  <c r="AQ19" i="8"/>
  <c r="Z19" i="8"/>
  <c r="AE19" i="8"/>
  <c r="AL19" i="8"/>
  <c r="AK28" i="8"/>
  <c r="AK26" i="8" s="1"/>
  <c r="AF28" i="8"/>
  <c r="AF26" i="8" s="1"/>
  <c r="AD28" i="8"/>
  <c r="AD26" i="8" s="1"/>
  <c r="AM28" i="8"/>
  <c r="AM26" i="8" s="1"/>
  <c r="AA28" i="8"/>
  <c r="AA26" i="8" s="1"/>
  <c r="U28" i="8"/>
  <c r="U26" i="8" s="1"/>
  <c r="AP19" i="8"/>
  <c r="AK25" i="8"/>
  <c r="AK23" i="8" s="1"/>
  <c r="AC25" i="8"/>
  <c r="AC23" i="8" s="1"/>
  <c r="AJ25" i="8"/>
  <c r="AJ23" i="8" s="1"/>
  <c r="AI25" i="8"/>
  <c r="AI23" i="8" s="1"/>
  <c r="AO19" i="8"/>
  <c r="Y19" i="8"/>
  <c r="AD19" i="8"/>
  <c r="X19" i="8"/>
  <c r="AP31" i="8"/>
  <c r="AP29" i="8" s="1"/>
  <c r="AD31" i="8"/>
  <c r="AD29" i="8" s="1"/>
  <c r="AA19" i="8"/>
  <c r="V17" i="8"/>
  <c r="AG17" i="8"/>
  <c r="AE22" i="8"/>
  <c r="AE20" i="8" s="1"/>
  <c r="AM22" i="8"/>
  <c r="AM20" i="8" s="1"/>
  <c r="AO22" i="8"/>
  <c r="AO20" i="8" s="1"/>
  <c r="AG22" i="8"/>
  <c r="AG20" i="8" s="1"/>
  <c r="AN22" i="8"/>
  <c r="AN20" i="8" s="1"/>
  <c r="AH22" i="8"/>
  <c r="AH20" i="8" s="1"/>
  <c r="Y22" i="8"/>
  <c r="Y20" i="8" s="1"/>
  <c r="AQ22" i="8"/>
  <c r="AQ20" i="8" s="1"/>
  <c r="Z22" i="8"/>
  <c r="Z20" i="8" s="1"/>
  <c r="AC22" i="8"/>
  <c r="AC20" i="8" s="1"/>
  <c r="V22" i="8"/>
  <c r="V20" i="8" s="1"/>
  <c r="AL22" i="8"/>
  <c r="AL20" i="8" s="1"/>
  <c r="AJ22" i="8"/>
  <c r="AJ20" i="8" s="1"/>
  <c r="X22" i="8"/>
  <c r="X20" i="8" s="1"/>
  <c r="AA22" i="8"/>
  <c r="AA20" i="8" s="1"/>
  <c r="AF22" i="8"/>
  <c r="AF20" i="8" s="1"/>
  <c r="AI22" i="8"/>
  <c r="AI20" i="8" s="1"/>
  <c r="AK22" i="8"/>
  <c r="AK20" i="8" s="1"/>
  <c r="AO31" i="8"/>
  <c r="AO29" i="8" s="1"/>
  <c r="AG31" i="8"/>
  <c r="AG29" i="8" s="1"/>
  <c r="AN31" i="8"/>
  <c r="AN29" i="8" s="1"/>
  <c r="AA31" i="8"/>
  <c r="AA29" i="8" s="1"/>
  <c r="V31" i="8"/>
  <c r="V29" i="8" s="1"/>
  <c r="Z31" i="8"/>
  <c r="Z29" i="8" s="1"/>
  <c r="Y28" i="8"/>
  <c r="Y26" i="8" s="1"/>
  <c r="AN28" i="8"/>
  <c r="AN26" i="8" s="1"/>
  <c r="AL28" i="8"/>
  <c r="AL26" i="8" s="1"/>
  <c r="W19" i="8"/>
  <c r="AB22" i="8"/>
  <c r="AB20" i="8" s="1"/>
  <c r="W22" i="8"/>
  <c r="W20" i="8" s="1"/>
  <c r="AA25" i="8"/>
  <c r="AA23" i="8" s="1"/>
  <c r="AM25" i="8"/>
  <c r="AM23" i="8" s="1"/>
  <c r="AB25" i="8"/>
  <c r="AB23" i="8" s="1"/>
  <c r="AE31" i="8"/>
  <c r="AE29" i="8" s="1"/>
  <c r="AN19" i="8"/>
  <c r="AJ19" i="8"/>
  <c r="D19" i="8"/>
  <c r="D31" i="8"/>
  <c r="D29" i="8" s="1"/>
  <c r="U31" i="8"/>
  <c r="U29" i="8" s="1"/>
  <c r="AI31" i="8"/>
  <c r="AI29" i="8" s="1"/>
  <c r="AH19" i="8"/>
  <c r="DL12" i="6"/>
  <c r="DM13" i="6"/>
  <c r="DM12" i="6" s="1"/>
  <c r="DJ15" i="6"/>
  <c r="BK15" i="6" s="1"/>
  <c r="DK14" i="6"/>
  <c r="DK16" i="6"/>
  <c r="DK17" i="6"/>
  <c r="DK18" i="6"/>
  <c r="DK19" i="6"/>
  <c r="DK20" i="6"/>
  <c r="DK21" i="6"/>
  <c r="DK22" i="6"/>
  <c r="DK23" i="6"/>
  <c r="DK24" i="6"/>
  <c r="DK25" i="6"/>
  <c r="DK26" i="6"/>
  <c r="DK27" i="6"/>
  <c r="DK28" i="6"/>
  <c r="DK29" i="6"/>
  <c r="DK30" i="6"/>
  <c r="DK31" i="6"/>
  <c r="DK32" i="6"/>
  <c r="BD11" i="10"/>
  <c r="BE12" i="10"/>
  <c r="BE11" i="10" s="1"/>
  <c r="AH17" i="8" l="1"/>
  <c r="AH16" i="8"/>
  <c r="AH14" i="8" s="1"/>
  <c r="X16" i="8"/>
  <c r="X14" i="8" s="1"/>
  <c r="X17" i="8"/>
  <c r="AB16" i="8"/>
  <c r="AB14" i="8" s="1"/>
  <c r="AJ16" i="8"/>
  <c r="AJ14" i="8" s="1"/>
  <c r="AJ17" i="8"/>
  <c r="AG16" i="8"/>
  <c r="AG14" i="8" s="1"/>
  <c r="AK16" i="8"/>
  <c r="AK14" i="8" s="1"/>
  <c r="AK17" i="8"/>
  <c r="AE16" i="8"/>
  <c r="AE14" i="8" s="1"/>
  <c r="AE17" i="8"/>
  <c r="AA17" i="8"/>
  <c r="AA16" i="8"/>
  <c r="AA14" i="8" s="1"/>
  <c r="AD16" i="8"/>
  <c r="AD14" i="8" s="1"/>
  <c r="AD17" i="8"/>
  <c r="Z16" i="8"/>
  <c r="Z14" i="8" s="1"/>
  <c r="Z17" i="8"/>
  <c r="AM16" i="8"/>
  <c r="AM14" i="8" s="1"/>
  <c r="AN17" i="8"/>
  <c r="AN16" i="8"/>
  <c r="AN14" i="8" s="1"/>
  <c r="Y16" i="8"/>
  <c r="Y14" i="8" s="1"/>
  <c r="Y17" i="8"/>
  <c r="AQ17" i="8"/>
  <c r="AQ16" i="8"/>
  <c r="AQ14" i="8" s="1"/>
  <c r="U17" i="8"/>
  <c r="U16" i="8"/>
  <c r="U14" i="8" s="1"/>
  <c r="AI16" i="8"/>
  <c r="AI14" i="8" s="1"/>
  <c r="D17" i="8"/>
  <c r="D16" i="8"/>
  <c r="AP17" i="8"/>
  <c r="AP16" i="8"/>
  <c r="AP14" i="8" s="1"/>
  <c r="W16" i="8"/>
  <c r="W14" i="8" s="1"/>
  <c r="W17" i="8"/>
  <c r="V16" i="8"/>
  <c r="V14" i="8" s="1"/>
  <c r="AO17" i="8"/>
  <c r="AO16" i="8"/>
  <c r="AO14" i="8" s="1"/>
  <c r="AL17" i="8"/>
  <c r="AL16" i="8"/>
  <c r="AL14" i="8" s="1"/>
  <c r="AC16" i="8"/>
  <c r="AC14" i="8" s="1"/>
  <c r="AC17" i="8"/>
  <c r="DM16" i="6"/>
  <c r="DM14" i="6"/>
  <c r="DM17" i="6"/>
  <c r="DM18" i="6"/>
  <c r="DM19" i="6"/>
  <c r="DM20" i="6"/>
  <c r="DM21" i="6"/>
  <c r="DM22" i="6"/>
  <c r="DM23" i="6"/>
  <c r="DM24" i="6"/>
  <c r="DM25" i="6"/>
  <c r="DM26" i="6"/>
  <c r="DM27" i="6"/>
  <c r="DM28" i="6"/>
  <c r="DM29" i="6"/>
  <c r="DM30" i="6"/>
  <c r="DM31" i="6"/>
  <c r="DM32" i="6"/>
  <c r="DK15" i="6"/>
  <c r="BL15" i="6" s="1"/>
  <c r="AF14" i="13"/>
  <c r="T14" i="13" s="1"/>
  <c r="AD3" i="13" s="1"/>
  <c r="DL14" i="6"/>
  <c r="DL16" i="6"/>
  <c r="AG14" i="13" s="1"/>
  <c r="U14" i="13" s="1"/>
  <c r="AD4" i="13" s="1"/>
  <c r="DL17" i="6"/>
  <c r="DL18" i="6"/>
  <c r="DL19" i="6"/>
  <c r="DL20" i="6"/>
  <c r="DL21" i="6"/>
  <c r="DL22" i="6"/>
  <c r="DL23" i="6"/>
  <c r="DL24" i="6"/>
  <c r="DL25" i="6"/>
  <c r="DL26" i="6"/>
  <c r="DL27" i="6"/>
  <c r="DL28" i="6"/>
  <c r="DL29" i="6"/>
  <c r="DL30" i="6"/>
  <c r="DL31" i="6"/>
  <c r="DL32" i="6"/>
  <c r="T25" i="8" l="1"/>
  <c r="T23" i="8" s="1"/>
  <c r="D40" i="8" a="1"/>
  <c r="D40" i="8" s="1"/>
  <c r="D35" i="8" s="1"/>
  <c r="D14" i="8"/>
  <c r="D42" i="8"/>
  <c r="D41" i="8" a="1"/>
  <c r="D41" i="8" s="1"/>
  <c r="D36" i="8" s="1"/>
  <c r="AH14" i="13"/>
  <c r="O14" i="13" s="1"/>
  <c r="AN29" i="10"/>
  <c r="AF31" i="8"/>
  <c r="AE14" i="13"/>
  <c r="M14" i="13" s="1"/>
  <c r="M27" i="13" s="1"/>
  <c r="K29" i="10"/>
  <c r="AE29" i="10"/>
  <c r="AT29" i="10"/>
  <c r="AP29" i="10"/>
  <c r="AX29" i="10"/>
  <c r="Y29" i="10"/>
  <c r="T31" i="8"/>
  <c r="T29" i="8" s="1"/>
  <c r="BB29" i="10"/>
  <c r="O29" i="10"/>
  <c r="BD29" i="10"/>
  <c r="AV29" i="10"/>
  <c r="AZ29" i="10"/>
  <c r="AR29" i="10"/>
  <c r="AJ29" i="10"/>
  <c r="AC29" i="10"/>
  <c r="AA29" i="10"/>
  <c r="Q29" i="10"/>
  <c r="S29" i="10"/>
  <c r="I29" i="10"/>
  <c r="M29" i="10"/>
  <c r="W29" i="10"/>
  <c r="AL29" i="10"/>
  <c r="AH29" i="10"/>
  <c r="U29" i="10"/>
  <c r="AD14" i="13"/>
  <c r="S14" i="13" s="1"/>
  <c r="M26" i="13" s="1"/>
  <c r="T28" i="8"/>
  <c r="T26" i="8" s="1"/>
  <c r="T19" i="8"/>
  <c r="DM15" i="6"/>
  <c r="BN15" i="6" s="1"/>
  <c r="DL15" i="6"/>
  <c r="BM15" i="6" s="1"/>
  <c r="T22" i="8"/>
  <c r="T20" i="8" s="1"/>
  <c r="AC14" i="13"/>
  <c r="R14" i="13" s="1"/>
  <c r="M25" i="13" s="1"/>
  <c r="D38" i="8" l="1"/>
  <c r="D39" i="8"/>
  <c r="D34" i="8" s="1"/>
  <c r="D37" i="8"/>
  <c r="D33" i="8" s="1"/>
  <c r="AA28" i="10"/>
  <c r="AA27" i="10"/>
  <c r="AA26" i="10" s="1"/>
  <c r="T17" i="8"/>
  <c r="T16" i="8"/>
  <c r="AH28" i="10"/>
  <c r="AH27" i="10"/>
  <c r="AH26" i="10" s="1"/>
  <c r="I27" i="10"/>
  <c r="I26" i="10" s="1"/>
  <c r="I28" i="10"/>
  <c r="AC28" i="10"/>
  <c r="AC27" i="10"/>
  <c r="AC26" i="10" s="1"/>
  <c r="AV28" i="10"/>
  <c r="AV27" i="10"/>
  <c r="AV26" i="10" s="1"/>
  <c r="AT28" i="10"/>
  <c r="AT27" i="10"/>
  <c r="AT26" i="10" s="1"/>
  <c r="AF29" i="8"/>
  <c r="AF16" i="8"/>
  <c r="AF14" i="8" s="1"/>
  <c r="M28" i="10"/>
  <c r="M27" i="10"/>
  <c r="M26" i="10" s="1"/>
  <c r="AZ27" i="10"/>
  <c r="AZ26" i="10" s="1"/>
  <c r="AZ28" i="10"/>
  <c r="BB28" i="10"/>
  <c r="BB27" i="10"/>
  <c r="BB26" i="10" s="1"/>
  <c r="AP28" i="10"/>
  <c r="AP27" i="10"/>
  <c r="AP26" i="10" s="1"/>
  <c r="M24" i="13"/>
  <c r="O28" i="13"/>
  <c r="M23" i="13"/>
  <c r="AL28" i="10"/>
  <c r="AL27" i="10"/>
  <c r="AL26" i="10" s="1"/>
  <c r="S28" i="10"/>
  <c r="S27" i="10"/>
  <c r="S26" i="10" s="1"/>
  <c r="AJ28" i="10"/>
  <c r="AJ27" i="10"/>
  <c r="AJ26" i="10" s="1"/>
  <c r="BD28" i="10"/>
  <c r="BD27" i="10"/>
  <c r="BD26" i="10" s="1"/>
  <c r="Y27" i="10"/>
  <c r="Y26" i="10" s="1"/>
  <c r="Y28" i="10"/>
  <c r="AE28" i="10"/>
  <c r="AE27" i="10"/>
  <c r="AE26" i="10" s="1"/>
  <c r="AN27" i="10"/>
  <c r="AN26" i="10" s="1"/>
  <c r="AN28" i="10"/>
  <c r="U27" i="10"/>
  <c r="U26" i="10" s="1"/>
  <c r="U28" i="10"/>
  <c r="W27" i="10"/>
  <c r="W26" i="10" s="1"/>
  <c r="W28" i="10"/>
  <c r="Q28" i="10"/>
  <c r="Q27" i="10"/>
  <c r="Q26" i="10" s="1"/>
  <c r="AR28" i="10"/>
  <c r="AR27" i="10"/>
  <c r="AR26" i="10" s="1"/>
  <c r="O28" i="10"/>
  <c r="O27" i="10"/>
  <c r="O26" i="10" s="1"/>
  <c r="AX27" i="10"/>
  <c r="AX26" i="10" s="1"/>
  <c r="AX28" i="10"/>
  <c r="K28" i="10"/>
  <c r="K27" i="10"/>
  <c r="K26" i="10" s="1"/>
  <c r="O27" i="13"/>
  <c r="P14" i="13"/>
  <c r="N14" i="13"/>
  <c r="K6" i="14" s="1"/>
  <c r="L6" i="14" s="1"/>
  <c r="BD9" i="10" l="1"/>
  <c r="AE9" i="10"/>
  <c r="T42" i="8"/>
  <c r="T14" i="8"/>
  <c r="T40" i="8" a="1"/>
  <c r="T40" i="8" s="1"/>
  <c r="T41" i="8" a="1"/>
  <c r="T41" i="8" s="1"/>
  <c r="Y9" i="10"/>
  <c r="AX9" i="10"/>
  <c r="AD6" i="13"/>
  <c r="O23" i="13"/>
  <c r="AC25" i="13"/>
  <c r="F33" i="14"/>
  <c r="AD26" i="13"/>
  <c r="P23" i="13"/>
  <c r="F34" i="14" s="1"/>
  <c r="AD25" i="13"/>
  <c r="AC26" i="13"/>
  <c r="N27" i="13"/>
  <c r="AE4" i="13" s="1"/>
  <c r="O26" i="13" s="1"/>
  <c r="E33" i="14" l="1"/>
  <c r="E34" i="14"/>
  <c r="N23" i="13"/>
  <c r="T37" i="8"/>
  <c r="T33" i="8" s="1"/>
  <c r="U42" i="8"/>
  <c r="T39" i="8"/>
  <c r="T34" i="8" s="1"/>
  <c r="T38" i="8"/>
  <c r="F32" i="14"/>
  <c r="N26" i="13"/>
  <c r="U41" i="8" a="1"/>
  <c r="U41" i="8" s="1"/>
  <c r="T36" i="8"/>
  <c r="AE6" i="13"/>
  <c r="AD2" i="13"/>
  <c r="U40" i="8" a="1"/>
  <c r="U40" i="8" s="1"/>
  <c r="T35" i="8"/>
  <c r="V40" i="8" l="1" a="1"/>
  <c r="V40" i="8" s="1"/>
  <c r="U35" i="8"/>
  <c r="E32" i="14"/>
  <c r="AE3" i="13"/>
  <c r="O25" i="13" s="1"/>
  <c r="V41" i="8" a="1"/>
  <c r="V41" i="8" s="1"/>
  <c r="U36" i="8"/>
  <c r="U38" i="8"/>
  <c r="V42" i="8"/>
  <c r="U37" i="8"/>
  <c r="U33" i="8" s="1"/>
  <c r="U39" i="8"/>
  <c r="U34" i="8" s="1"/>
  <c r="AE2" i="13" l="1"/>
  <c r="V37" i="8"/>
  <c r="V33" i="8" s="1"/>
  <c r="W42" i="8"/>
  <c r="V38" i="8"/>
  <c r="V39" i="8"/>
  <c r="V34" i="8" s="1"/>
  <c r="N25" i="13"/>
  <c r="E31" i="14" s="1"/>
  <c r="F31" i="14"/>
  <c r="O24" i="13"/>
  <c r="V36" i="8"/>
  <c r="W41" i="8" a="1"/>
  <c r="W41" i="8" s="1"/>
  <c r="V35" i="8"/>
  <c r="W40" i="8" a="1"/>
  <c r="W40" i="8" s="1"/>
  <c r="X40" i="8" l="1" a="1"/>
  <c r="X40" i="8" s="1"/>
  <c r="W35" i="8"/>
  <c r="F30" i="14"/>
  <c r="N24" i="13"/>
  <c r="E30" i="14" s="1"/>
  <c r="W37" i="8"/>
  <c r="W33" i="8" s="1"/>
  <c r="W38" i="8"/>
  <c r="W39" i="8"/>
  <c r="W34" i="8" s="1"/>
  <c r="X42" i="8"/>
  <c r="W36" i="8"/>
  <c r="X41" i="8" a="1"/>
  <c r="X41" i="8" s="1"/>
  <c r="X37" i="8" l="1"/>
  <c r="X33" i="8" s="1"/>
  <c r="X39" i="8"/>
  <c r="X34" i="8" s="1"/>
  <c r="X38" i="8"/>
  <c r="Y42" i="8"/>
  <c r="Y41" i="8" a="1"/>
  <c r="Y41" i="8" s="1"/>
  <c r="X36" i="8"/>
  <c r="X35" i="8"/>
  <c r="Y40" i="8" a="1"/>
  <c r="Y40" i="8" s="1"/>
  <c r="Y39" i="8" l="1"/>
  <c r="Y34" i="8" s="1"/>
  <c r="Y37" i="8"/>
  <c r="Y33" i="8" s="1"/>
  <c r="Y38" i="8"/>
  <c r="J10" i="13" s="1"/>
  <c r="G10" i="13" s="1"/>
  <c r="Z42" i="8"/>
  <c r="Z40" i="8" a="1"/>
  <c r="Z40" i="8" s="1"/>
  <c r="Y35" i="8"/>
  <c r="Z41" i="8" a="1"/>
  <c r="Z41" i="8" s="1"/>
  <c r="Y36" i="8"/>
  <c r="Z36" i="8" l="1"/>
  <c r="AA41" i="8" a="1"/>
  <c r="AA41" i="8" s="1"/>
  <c r="Z38" i="8"/>
  <c r="AA42" i="8"/>
  <c r="Z37" i="8"/>
  <c r="Z33" i="8" s="1"/>
  <c r="Z39" i="8"/>
  <c r="Z34" i="8" s="1"/>
  <c r="Z35" i="8"/>
  <c r="AA40" i="8" a="1"/>
  <c r="AA40" i="8" s="1"/>
  <c r="AA35" i="8" l="1"/>
  <c r="AB40" i="8" a="1"/>
  <c r="AB40" i="8" s="1"/>
  <c r="AB41" i="8" a="1"/>
  <c r="AB41" i="8" s="1"/>
  <c r="AA36" i="8"/>
  <c r="AA37" i="8"/>
  <c r="AA33" i="8" s="1"/>
  <c r="AB42" i="8"/>
  <c r="AA38" i="8"/>
  <c r="AA39" i="8"/>
  <c r="AA34" i="8" s="1"/>
  <c r="AC41" i="8" l="1" a="1"/>
  <c r="AC41" i="8" s="1"/>
  <c r="AB36" i="8"/>
  <c r="AB35" i="8"/>
  <c r="AC40" i="8" a="1"/>
  <c r="AC40" i="8" s="1"/>
  <c r="AC42" i="8"/>
  <c r="AB38" i="8"/>
  <c r="AB37" i="8"/>
  <c r="AB33" i="8" s="1"/>
  <c r="AB39" i="8"/>
  <c r="AB34" i="8" s="1"/>
  <c r="AC35" i="8" l="1"/>
  <c r="AD40" i="8" a="1"/>
  <c r="AD40" i="8" s="1"/>
  <c r="AC38" i="8"/>
  <c r="AC39" i="8"/>
  <c r="AC34" i="8" s="1"/>
  <c r="AC37" i="8"/>
  <c r="AC33" i="8" s="1"/>
  <c r="AD42" i="8"/>
  <c r="AC36" i="8"/>
  <c r="AD41" i="8" a="1"/>
  <c r="AD41" i="8" s="1"/>
  <c r="AE41" i="8" l="1" a="1"/>
  <c r="AE41" i="8" s="1"/>
  <c r="AD36" i="8"/>
  <c r="AD35" i="8"/>
  <c r="AE40" i="8" a="1"/>
  <c r="AE40" i="8" s="1"/>
  <c r="AE42" i="8"/>
  <c r="AD37" i="8"/>
  <c r="AD33" i="8" s="1"/>
  <c r="AD38" i="8"/>
  <c r="AD39" i="8"/>
  <c r="AD34" i="8" s="1"/>
  <c r="AF40" i="8" l="1" a="1"/>
  <c r="AF40" i="8" s="1"/>
  <c r="AE35" i="8"/>
  <c r="AR40" i="8"/>
  <c r="AF42" i="8"/>
  <c r="AR42" i="8"/>
  <c r="AE37" i="8"/>
  <c r="AE33" i="8" s="1"/>
  <c r="AE39" i="8"/>
  <c r="AE38" i="8"/>
  <c r="AE36" i="8"/>
  <c r="AF41" i="8" a="1"/>
  <c r="AF41" i="8" s="1"/>
  <c r="AF38" i="8" l="1"/>
  <c r="AF39" i="8"/>
  <c r="AF34" i="8" s="1"/>
  <c r="AG42" i="8"/>
  <c r="AF37" i="8"/>
  <c r="AF33" i="8" s="1"/>
  <c r="AR39" i="8"/>
  <c r="AE34" i="8"/>
  <c r="AG41" i="8" a="1"/>
  <c r="AG41" i="8" s="1"/>
  <c r="AF36" i="8"/>
  <c r="AR41" i="8"/>
  <c r="AG40" i="8" a="1"/>
  <c r="AG40" i="8" s="1"/>
  <c r="AF35" i="8"/>
  <c r="AH41" i="8" l="1" a="1"/>
  <c r="AH41" i="8" s="1"/>
  <c r="AG36" i="8"/>
  <c r="AG39" i="8"/>
  <c r="AG34" i="8" s="1"/>
  <c r="AG38" i="8"/>
  <c r="AG37" i="8"/>
  <c r="AG33" i="8" s="1"/>
  <c r="AH42" i="8"/>
  <c r="AG35" i="8"/>
  <c r="AH40" i="8" a="1"/>
  <c r="AH40" i="8" s="1"/>
  <c r="AI40" i="8" l="1" a="1"/>
  <c r="AI40" i="8" s="1"/>
  <c r="AH35" i="8"/>
  <c r="AH37" i="8"/>
  <c r="AH33" i="8" s="1"/>
  <c r="AI42" i="8"/>
  <c r="AH38" i="8"/>
  <c r="AH39" i="8"/>
  <c r="AH34" i="8" s="1"/>
  <c r="AH36" i="8"/>
  <c r="AI41" i="8" a="1"/>
  <c r="AI41" i="8" s="1"/>
  <c r="AI38" i="8" l="1"/>
  <c r="AI39" i="8"/>
  <c r="AI34" i="8" s="1"/>
  <c r="AJ42" i="8"/>
  <c r="AI37" i="8"/>
  <c r="AI33" i="8" s="1"/>
  <c r="AI36" i="8"/>
  <c r="AJ41" i="8" a="1"/>
  <c r="AJ41" i="8" s="1"/>
  <c r="AI35" i="8"/>
  <c r="AJ40" i="8" a="1"/>
  <c r="AJ40" i="8" s="1"/>
  <c r="AJ39" i="8" l="1"/>
  <c r="AJ34" i="8" s="1"/>
  <c r="AJ37" i="8"/>
  <c r="AJ33" i="8" s="1"/>
  <c r="AK42" i="8"/>
  <c r="AJ38" i="8"/>
  <c r="AJ35" i="8"/>
  <c r="AK40" i="8" a="1"/>
  <c r="AK40" i="8" s="1"/>
  <c r="AK41" i="8" a="1"/>
  <c r="AK41" i="8" s="1"/>
  <c r="AJ36" i="8"/>
  <c r="AL42" i="8" l="1"/>
  <c r="AK38" i="8"/>
  <c r="AK37" i="8"/>
  <c r="AK33" i="8" s="1"/>
  <c r="AK39" i="8"/>
  <c r="AK34" i="8" s="1"/>
  <c r="AL40" i="8" a="1"/>
  <c r="AL40" i="8" s="1"/>
  <c r="AK35" i="8"/>
  <c r="AK36" i="8"/>
  <c r="AL41" i="8" a="1"/>
  <c r="AL41" i="8" s="1"/>
  <c r="AL36" i="8" l="1"/>
  <c r="AM41" i="8" a="1"/>
  <c r="AM41" i="8" s="1"/>
  <c r="AM40" i="8" a="1"/>
  <c r="AM40" i="8" s="1"/>
  <c r="AL35" i="8"/>
  <c r="AL39" i="8"/>
  <c r="AL34" i="8" s="1"/>
  <c r="AM42" i="8"/>
  <c r="AL38" i="8"/>
  <c r="AL37" i="8"/>
  <c r="AL33" i="8" s="1"/>
  <c r="AM35" i="8" l="1"/>
  <c r="AN40" i="8" a="1"/>
  <c r="AN40" i="8" s="1"/>
  <c r="AN41" i="8" a="1"/>
  <c r="AN41" i="8" s="1"/>
  <c r="AM36" i="8"/>
  <c r="AM37" i="8"/>
  <c r="AM33" i="8" s="1"/>
  <c r="AM39" i="8"/>
  <c r="AM34" i="8" s="1"/>
  <c r="AN42" i="8"/>
  <c r="AM38" i="8"/>
  <c r="AN36" i="8" l="1"/>
  <c r="AO41" i="8" a="1"/>
  <c r="AO41" i="8" s="1"/>
  <c r="AN35" i="8"/>
  <c r="AO40" i="8" a="1"/>
  <c r="AO40" i="8" s="1"/>
  <c r="AN39" i="8"/>
  <c r="AN34" i="8" s="1"/>
  <c r="AN38" i="8"/>
  <c r="AN37" i="8"/>
  <c r="AN33" i="8" s="1"/>
  <c r="AO42" i="8"/>
  <c r="AP42" i="8" l="1"/>
  <c r="AO38" i="8"/>
  <c r="AO37" i="8"/>
  <c r="AO33" i="8" s="1"/>
  <c r="AO39" i="8"/>
  <c r="AO34" i="8" s="1"/>
  <c r="AO36" i="8"/>
  <c r="AP41" i="8" a="1"/>
  <c r="AP41" i="8" s="1"/>
  <c r="AO35" i="8"/>
  <c r="AP40" i="8" a="1"/>
  <c r="AP40" i="8" s="1"/>
  <c r="AQ40" i="8" l="1" a="1"/>
  <c r="AQ40" i="8" s="1"/>
  <c r="AQ35" i="8" s="1"/>
  <c r="AP35" i="8"/>
  <c r="AP36" i="8"/>
  <c r="AQ41" i="8" a="1"/>
  <c r="AQ41" i="8" s="1"/>
  <c r="AQ36" i="8" s="1"/>
  <c r="AP37" i="8"/>
  <c r="AP33" i="8" s="1"/>
  <c r="AQ42" i="8"/>
  <c r="AP38" i="8"/>
  <c r="AP39" i="8"/>
  <c r="AP34" i="8" s="1"/>
  <c r="AQ37" i="8" l="1"/>
  <c r="AQ33" i="8" s="1"/>
  <c r="AQ39" i="8"/>
  <c r="AQ34" i="8" s="1"/>
  <c r="AQ38" i="8"/>
  <c r="J10" i="8"/>
  <c r="B9" i="9"/>
</calcChain>
</file>

<file path=xl/comments1.xml><?xml version="1.0" encoding="utf-8"?>
<comments xmlns="http://schemas.openxmlformats.org/spreadsheetml/2006/main">
  <authors>
    <author/>
  </authors>
  <commentList>
    <comment ref="F40" authorId="0" shapeId="0">
      <text>
        <r>
          <rPr>
            <sz val="9"/>
            <color indexed="8"/>
            <rFont val="Segoe UI"/>
            <family val="2"/>
          </rPr>
          <t>Informar a data-base do CTEF no formato mm-aaaa.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I6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J7" authorId="0" shapeId="0">
      <text>
        <r>
          <rPr>
            <b/>
            <sz val="9"/>
            <color indexed="8"/>
            <rFont val="Tahoma"/>
            <family val="2"/>
          </rPr>
          <t xml:space="preserve">QUANTIDADES:
</t>
        </r>
        <r>
          <rPr>
            <sz val="9"/>
            <color indexed="8"/>
            <rFont val="Tahoma"/>
            <family val="2"/>
          </rPr>
          <t>PREENCHA AS QUANTIDADES AQUI PARA ACOMPANHAMENTOS POR BM.</t>
        </r>
      </text>
    </comment>
    <comment ref="AL7" authorId="0" shapeId="0">
      <text>
        <r>
          <rPr>
            <b/>
            <sz val="9"/>
            <color indexed="8"/>
            <rFont val="Tahoma"/>
            <family val="2"/>
          </rPr>
          <t xml:space="preserve">PREÇO UNITÁRIO LICITADO:
</t>
        </r>
        <r>
          <rPr>
            <sz val="9"/>
            <color indexed="8"/>
            <rFont val="Tahoma"/>
            <family val="2"/>
          </rPr>
          <t>PREENCHA AQUI O PREÇO UNITÁRIO DA LICITAÇÃO.</t>
        </r>
      </text>
    </comment>
    <comment ref="L8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  <comment ref="Y8" authorId="0" shapeId="0">
      <text>
        <r>
          <rPr>
            <b/>
            <sz val="9"/>
            <color indexed="8"/>
            <rFont val="Tahoma"/>
            <family val="2"/>
          </rPr>
          <t xml:space="preserve">RECURSO:
</t>
        </r>
        <r>
          <rPr>
            <sz val="9"/>
            <color indexed="8"/>
            <rFont val="Tahoma"/>
            <family val="2"/>
          </rPr>
          <t>Selecione a composição do item do Orçamento no Investimento.
RA: Rateio proporcional entre Repasse e Contrapartida.
RP: 100% valor de Repasse.
CP: 100%  valor de Contrapartida.
OU: 100% valor "Outros".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D15" authorId="0" shapeId="0">
      <text>
        <r>
          <rPr>
            <sz val="9"/>
            <color indexed="8"/>
            <rFont val="Segoe UI"/>
            <family val="2"/>
          </rPr>
          <t>O evento de administração local é fixo, de uso opcional.
Os serviços agrupados neste evento serão medidos proporcionalmente à execução dos demais eventos.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C7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C8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  <comment ref="AB12" authorId="0" shapeId="0">
      <text>
        <r>
          <rPr>
            <sz val="9"/>
            <color indexed="8"/>
            <rFont val="Segoe UI"/>
            <family val="2"/>
          </rPr>
          <t>Digite nestes campos as datas das medições</t>
        </r>
      </text>
    </comment>
    <comment ref="AB13" authorId="0" shapeId="0">
      <text>
        <r>
          <rPr>
            <sz val="9"/>
            <color indexed="8"/>
            <rFont val="Tahoma"/>
            <family val="2"/>
          </rPr>
          <t xml:space="preserve">Para medições além da 12ª, preencha esta coluna com as </t>
        </r>
        <r>
          <rPr>
            <b/>
            <sz val="9"/>
            <color indexed="8"/>
            <rFont val="Tahoma"/>
            <family val="2"/>
          </rPr>
          <t>quantidades acumuladas.</t>
        </r>
      </text>
    </comment>
  </commentList>
</comments>
</file>

<file path=xl/comments7.xml><?xml version="1.0" encoding="utf-8"?>
<comments xmlns="http://schemas.openxmlformats.org/spreadsheetml/2006/main">
  <authors>
    <author/>
  </authors>
  <commentList>
    <comment ref="D7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  <comment ref="Z24" authorId="0" shapeId="0">
      <text>
        <r>
          <rPr>
            <b/>
            <sz val="9"/>
            <color indexed="8"/>
            <rFont val="Segoe UI"/>
            <family val="2"/>
          </rPr>
          <t xml:space="preserve">Valores de Contrapartida e Outros:
</t>
        </r>
        <r>
          <rPr>
            <sz val="9"/>
            <color indexed="8"/>
            <rFont val="Segoe UI"/>
            <family val="2"/>
          </rPr>
          <t>Digite somente para desbloquear valores diferentes do previsto no RRE.</t>
        </r>
      </text>
    </comment>
  </commentList>
</comments>
</file>

<file path=xl/sharedStrings.xml><?xml version="1.0" encoding="utf-8"?>
<sst xmlns="http://schemas.openxmlformats.org/spreadsheetml/2006/main" count="1232" uniqueCount="500">
  <si>
    <t>PM</t>
  </si>
  <si>
    <t>Licitado</t>
  </si>
  <si>
    <t>Fundo amarelo: células para preencher</t>
  </si>
  <si>
    <t>Fundo azul: células para seleção de opções</t>
  </si>
  <si>
    <t>BM</t>
  </si>
  <si>
    <t>A. DOCUMENTAÇÃO DA PROPOSTA</t>
  </si>
  <si>
    <t>Sub-Itens de Investimento</t>
  </si>
  <si>
    <t>Itens de Investimento</t>
  </si>
  <si>
    <t>Unidades habitacionais</t>
  </si>
  <si>
    <t>Equipamentos comunitários</t>
  </si>
  <si>
    <t>Pavimentação</t>
  </si>
  <si>
    <t xml:space="preserve">Drenagem </t>
  </si>
  <si>
    <t>Abastecimento de água</t>
  </si>
  <si>
    <t>Esgotamento sanitário</t>
  </si>
  <si>
    <t>Energia elétrica e iluminação pública</t>
  </si>
  <si>
    <t>Coleta e tratamento de resíduos sólidos</t>
  </si>
  <si>
    <t xml:space="preserve">Contenção e estabilização de encostas </t>
  </si>
  <si>
    <t>Regularização fundiária</t>
  </si>
  <si>
    <t>Aquisição de terreno</t>
  </si>
  <si>
    <t>Aquisição de equipamentos e insumos</t>
  </si>
  <si>
    <t>Elaboração de estudos e projetos</t>
  </si>
  <si>
    <t>Instrumentos e ações em planejamento e gestão pública</t>
  </si>
  <si>
    <t>Ações complementares às obras</t>
  </si>
  <si>
    <t>Gerenciamento</t>
  </si>
  <si>
    <t>Trabalho social</t>
  </si>
  <si>
    <t>Dados do Contrato (Inicial)</t>
  </si>
  <si>
    <t>Aquisição</t>
  </si>
  <si>
    <t>un</t>
  </si>
  <si>
    <t>Convivência comunitária, assistência social e/ou comunitária</t>
  </si>
  <si>
    <t>m²</t>
  </si>
  <si>
    <t>Capeamento de vias</t>
  </si>
  <si>
    <t xml:space="preserve">Obras de microdrenagem </t>
  </si>
  <si>
    <t>m</t>
  </si>
  <si>
    <t>Captação subterrânea</t>
  </si>
  <si>
    <t>m³/s</t>
  </si>
  <si>
    <t>Ligações domiciliares e/ou intradomiciliares</t>
  </si>
  <si>
    <t>Iluminação pública - luminárias</t>
  </si>
  <si>
    <t xml:space="preserve">Acondicionamento </t>
  </si>
  <si>
    <t>Estabilização de taludes</t>
  </si>
  <si>
    <t>Desapropriacões/Indenizações</t>
  </si>
  <si>
    <t>Avaliação pós intervenção</t>
  </si>
  <si>
    <t>%CT</t>
  </si>
  <si>
    <t>Projeto de Trabalho Social Preliminar</t>
  </si>
  <si>
    <t>nº fam</t>
  </si>
  <si>
    <t>Fonte de recursos:</t>
  </si>
  <si>
    <t>Construção</t>
  </si>
  <si>
    <t>Educação e cultura</t>
  </si>
  <si>
    <t>Recapeamento de vias</t>
  </si>
  <si>
    <t>Desassoreamento de cursos de água</t>
  </si>
  <si>
    <t>Captação superficial</t>
  </si>
  <si>
    <t>Rede coletora e/ou condominial</t>
  </si>
  <si>
    <t>Ligações domiciliares</t>
  </si>
  <si>
    <t>Aterro sanitário e/ou disposição final</t>
  </si>
  <si>
    <t>m³</t>
  </si>
  <si>
    <t>Obras complementares a ações de redução de risco e/ou contenções</t>
  </si>
  <si>
    <t>Projeto de Regularização Fundiária</t>
  </si>
  <si>
    <t>Benfeitorias</t>
  </si>
  <si>
    <t>Demolições</t>
  </si>
  <si>
    <t>Projeto de Trabalho Social</t>
  </si>
  <si>
    <t>Proponente/Tomador:</t>
  </si>
  <si>
    <t>Reforma e/ou melhoria</t>
  </si>
  <si>
    <t>Esportes</t>
  </si>
  <si>
    <t>Obras de artes especiais</t>
  </si>
  <si>
    <t>Canalização de cursos de água</t>
  </si>
  <si>
    <t>Estação de bombeamento de água bruta</t>
  </si>
  <si>
    <t>Coletor tronco e/ou interceptores</t>
  </si>
  <si>
    <t xml:space="preserve">Linhas de distribuição - baixa tensão </t>
  </si>
  <si>
    <t>Erradicação de lixões</t>
  </si>
  <si>
    <t>Plano de Reassentamento e medidas compensatórias</t>
  </si>
  <si>
    <t>Plano de Desenvolvimento Socioterritorial</t>
  </si>
  <si>
    <t>Município/UF:</t>
  </si>
  <si>
    <t>Lazer e turismo</t>
  </si>
  <si>
    <t>Pavimentação de calçadas</t>
  </si>
  <si>
    <t>Recomposição de vegetação ciliar, renaturalização de cursos de água ou restauração de margens</t>
  </si>
  <si>
    <t>Adução</t>
  </si>
  <si>
    <t>Emissário</t>
  </si>
  <si>
    <t xml:space="preserve">Linhas de transmissão - alta tensão </t>
  </si>
  <si>
    <t>Sistema de coleta seletiva tradicional, transporte e/ou equipamentos</t>
  </si>
  <si>
    <t>Plano de Gestão Condominial</t>
  </si>
  <si>
    <t>Nº da Operação (0000000-00):</t>
  </si>
  <si>
    <t>Saúde</t>
  </si>
  <si>
    <t>Pavimentação de vias</t>
  </si>
  <si>
    <t>Reservatório de amortecimento de cheias</t>
  </si>
  <si>
    <t>Estação de Tratamento de Água (ETA)</t>
  </si>
  <si>
    <t>Estação Elevatória</t>
  </si>
  <si>
    <t xml:space="preserve">Tratamento local </t>
  </si>
  <si>
    <t>Nº do SICONV (000000):</t>
  </si>
  <si>
    <t>Segurança pública</t>
  </si>
  <si>
    <t>Sinalização</t>
  </si>
  <si>
    <t>Estação de Bombeamento</t>
  </si>
  <si>
    <t>Estação de bombeamento de água tratada</t>
  </si>
  <si>
    <t>Estação de Tratamento de Esgoto (ETE)</t>
  </si>
  <si>
    <t xml:space="preserve">Usinas de reciclagem </t>
  </si>
  <si>
    <t>Linha de recalque</t>
  </si>
  <si>
    <t>Sistema simplificado de tratamento</t>
  </si>
  <si>
    <t>Valor de Contrapartida Contratada (R$):</t>
  </si>
  <si>
    <t>Reservação</t>
  </si>
  <si>
    <t>Unidades sanitárias</t>
  </si>
  <si>
    <t>% mínimo de Contrapartida:</t>
  </si>
  <si>
    <t>Rede de distribuição</t>
  </si>
  <si>
    <t>R$ mínimo de Contrapartida (se houver):</t>
  </si>
  <si>
    <t>% máximo de Contrapartida:</t>
  </si>
  <si>
    <t>Sistema simplificado de abastecimento</t>
  </si>
  <si>
    <t>Dados do Empreendimento e Orçamento</t>
  </si>
  <si>
    <t>Nome/apelido:</t>
  </si>
  <si>
    <t>Descrição do Objeto do Lote / CTEF:</t>
  </si>
  <si>
    <t>Regime previdenciário previsto para a obra:</t>
  </si>
  <si>
    <t>Data base do Orçamento:</t>
  </si>
  <si>
    <t>Responsável pelo Orçamento</t>
  </si>
  <si>
    <t>Nome:</t>
  </si>
  <si>
    <t>CREA/CAU:</t>
  </si>
  <si>
    <t>ART/RRT:</t>
  </si>
  <si>
    <t>Data do preenchimento:</t>
  </si>
  <si>
    <t>Responsável pelo Tomador (Prefeito, no caso de Municípios)</t>
  </si>
  <si>
    <t>Cargo:</t>
  </si>
  <si>
    <t>B. RESULTADO DO PROCESSO LICITATÓRIO</t>
  </si>
  <si>
    <t>Licitação</t>
  </si>
  <si>
    <t>Data de emissão dos documentos de licitação:</t>
  </si>
  <si>
    <t>Nº do CTEF (contrato com empresa):</t>
  </si>
  <si>
    <t>Nome da empresa:</t>
  </si>
  <si>
    <t>CNPJ da empresa:</t>
  </si>
  <si>
    <t>Regime de execução do CTEF:</t>
  </si>
  <si>
    <t>Data base do CTEF:</t>
  </si>
  <si>
    <t>C. ACOMPANHAMENTO DO EMPREENDIMENTO</t>
  </si>
  <si>
    <t>Dados da obra</t>
  </si>
  <si>
    <t>Data do Início da Obra:</t>
  </si>
  <si>
    <t>Data de fechamento do RRE:</t>
  </si>
  <si>
    <t>Responsável pela Fiscalização</t>
  </si>
  <si>
    <t>Profissão:</t>
  </si>
  <si>
    <t>CREA/CAU (para obras/projetos):</t>
  </si>
  <si>
    <t>ART/RRT (para obras/projetos):</t>
  </si>
  <si>
    <t>D. ACOMPANHAMENTO CAIXA</t>
  </si>
  <si>
    <t>Responsável Gerencial</t>
  </si>
  <si>
    <t>Função:</t>
  </si>
  <si>
    <t>Novidades da Versão</t>
  </si>
  <si>
    <t>V3.0.0</t>
  </si>
  <si>
    <t>GERAL</t>
  </si>
  <si>
    <t>Lançamento: Adequação à Portaria 424/2016. Acompanhamento por Eventos.</t>
  </si>
  <si>
    <t>MIN</t>
  </si>
  <si>
    <t>MED</t>
  </si>
  <si>
    <t>MAX</t>
  </si>
  <si>
    <t>Grau de Sigilo</t>
  </si>
  <si>
    <t>Construção e Reforma de Edifícios</t>
  </si>
  <si>
    <t>AC</t>
  </si>
  <si>
    <t>#PUBLICO</t>
  </si>
  <si>
    <t>SG</t>
  </si>
  <si>
    <t>R</t>
  </si>
  <si>
    <t>Nº OPERAÇÃO</t>
  </si>
  <si>
    <t>Nº SICONV</t>
  </si>
  <si>
    <t>PROPONENTE / TOMADOR</t>
  </si>
  <si>
    <t>DF</t>
  </si>
  <si>
    <t>L</t>
  </si>
  <si>
    <t>BDI PAD</t>
  </si>
  <si>
    <t>APELIDO DO EMPREENDIMENTO / DESCRIÇÃO DO LOTE</t>
  </si>
  <si>
    <t>Construção de Praças Urbanas, Rodovias, Ferrovias e recapeamento e pavimentação de vias urbanas</t>
  </si>
  <si>
    <t>Conforme legislação tributária municipal, definir estimativa de percentual da base de cálculo para o ISS:</t>
  </si>
  <si>
    <t>Sobre a base de cálculo, definir a respectiva alíquota do ISS (entre 2% e 5%):</t>
  </si>
  <si>
    <t>Construção de Redes de Abastecimento de Água, Coleta de Esgoto</t>
  </si>
  <si>
    <t>BDI 1</t>
  </si>
  <si>
    <t>TIPO DE OBRA</t>
  </si>
  <si>
    <t>Itens</t>
  </si>
  <si>
    <t>Siglas</t>
  </si>
  <si>
    <t>% Adotado</t>
  </si>
  <si>
    <t>Situação</t>
  </si>
  <si>
    <t>1º Quartil</t>
  </si>
  <si>
    <t>Médio</t>
  </si>
  <si>
    <t>3º Quartil</t>
  </si>
  <si>
    <t>Construção e Manutenção de Estações e Redes de Distribuição de Energia Elétrica</t>
  </si>
  <si>
    <t>-</t>
  </si>
  <si>
    <t>Obras Portuárias, Marítimas e Fluviais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</si>
  <si>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</si>
  <si>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</si>
  <si>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</si>
  <si>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</si>
  <si>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</si>
  <si>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</si>
  <si>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SEM desoneração (Fórmula Acórdão TCU)</t>
  </si>
  <si>
    <t>BDI COM desoneração</t>
  </si>
  <si>
    <t>BDI DES</t>
  </si>
  <si>
    <t>Fornecimento de Materiais e Equipamentos (aquisição indireta - em conjunto com licitação de obras)</t>
  </si>
  <si>
    <t>Os valores de BDI foram calculados com o emprego da fórmula:</t>
  </si>
  <si>
    <t>BDI =</t>
  </si>
  <si>
    <t xml:space="preserve"> - 1</t>
  </si>
  <si>
    <t>(1-CP-ISS-CRPB)</t>
  </si>
  <si>
    <t>Fornecimento de Materiais e Equipamentos (aquisição direta)</t>
  </si>
  <si>
    <t>Estudos e Projetos, Planos e Gerenciamento e outros correlatos</t>
  </si>
  <si>
    <t>K1</t>
  </si>
  <si>
    <t>K2</t>
  </si>
  <si>
    <t>K3</t>
  </si>
  <si>
    <t>Observações:</t>
  </si>
  <si>
    <t>Local</t>
  </si>
  <si>
    <t>Data</t>
  </si>
  <si>
    <t>Responsável Técnico</t>
  </si>
  <si>
    <t>BDI 2</t>
  </si>
  <si>
    <t>BDI 3</t>
  </si>
  <si>
    <t>PO - PLANILHA ORÇAMENTÁRIA</t>
  </si>
  <si>
    <t>LOTE</t>
  </si>
  <si>
    <t>Meta</t>
  </si>
  <si>
    <t>Nível 2</t>
  </si>
  <si>
    <t>Nível 3</t>
  </si>
  <si>
    <t>Nível 4</t>
  </si>
  <si>
    <t>Serviço</t>
  </si>
  <si>
    <t>Arredondamento</t>
  </si>
  <si>
    <t>Nmax</t>
  </si>
  <si>
    <t>APELIDO DO EMPREENDIMENTO</t>
  </si>
  <si>
    <t>Quantidade</t>
  </si>
  <si>
    <t>LOCALIDADE SINAPI</t>
  </si>
  <si>
    <t>DATA BASE</t>
  </si>
  <si>
    <t>Custo Unitáro</t>
  </si>
  <si>
    <t>QUANTIDADES: ACOMP. POR BM</t>
  </si>
  <si>
    <t>PREÇO UNITÁRIO LICITADO</t>
  </si>
  <si>
    <t>FILTRO</t>
  </si>
  <si>
    <t>RECURSO</t>
  </si>
  <si>
    <t>SGL RECURSO</t>
  </si>
  <si>
    <t>BDI</t>
  </si>
  <si>
    <t>Preço Unitário</t>
  </si>
  <si>
    <t>ERRO GERAL</t>
  </si>
  <si>
    <t>Preço Total</t>
  </si>
  <si>
    <t>Valores não Arredondados</t>
  </si>
  <si>
    <t>↓</t>
  </si>
  <si>
    <t>Nível E</t>
  </si>
  <si>
    <t>Save Nivel</t>
  </si>
  <si>
    <t>Nível C</t>
  </si>
  <si>
    <t>Altura</t>
  </si>
  <si>
    <t>n1</t>
  </si>
  <si>
    <t>n2</t>
  </si>
  <si>
    <t>n3</t>
  </si>
  <si>
    <t>n4</t>
  </si>
  <si>
    <t>n5</t>
  </si>
  <si>
    <t>Czero</t>
  </si>
  <si>
    <t>Cnível</t>
  </si>
  <si>
    <t>Nível</t>
  </si>
  <si>
    <t>Nível Corrigido</t>
  </si>
  <si>
    <t>Item</t>
  </si>
  <si>
    <t>Fonte</t>
  </si>
  <si>
    <t>Código</t>
  </si>
  <si>
    <t>Descrição</t>
  </si>
  <si>
    <t>Unidade</t>
  </si>
  <si>
    <t>Preço Unitário (com BDI) (R$)</t>
  </si>
  <si>
    <t>Preço Total
(R$)</t>
  </si>
  <si>
    <t>Contrapartida (R$)</t>
  </si>
  <si>
    <t>Outros (R$)</t>
  </si>
  <si>
    <t>Erro de Dados</t>
  </si>
  <si>
    <t>Lista Crono</t>
  </si>
  <si>
    <t>Concatenação Fonte-Código</t>
  </si>
  <si>
    <t>BancoDesloc</t>
  </si>
  <si>
    <t>Preço Total
Licit. (R$)</t>
  </si>
  <si>
    <t>RA</t>
  </si>
  <si>
    <t>F</t>
  </si>
  <si>
    <t>SINAPI</t>
  </si>
  <si>
    <t>Encargos sociais:</t>
  </si>
  <si>
    <t>Para elaboração deste orçamento, foram utilizados os encargos sociais do SINAPI para a Unidade da Federação indicada.</t>
  </si>
  <si>
    <t>Siglas da Composição do Investimento: RA - Rateio proporcional entre Repasse e Contrapartida; RP - 100% Repasse; CP - 100% Contrapartida; OU - 100% Outros.</t>
  </si>
  <si>
    <t>Preços dos serviços por frente</t>
  </si>
  <si>
    <t>Mês do cronograma</t>
  </si>
  <si>
    <t>Número da Medição</t>
  </si>
  <si>
    <t>Empty</t>
  </si>
  <si>
    <t>.</t>
  </si>
  <si>
    <t>Nº AGRUPADOR DE EVENTOS</t>
  </si>
  <si>
    <t>FRENTES DE OBRA:</t>
  </si>
  <si>
    <t>AUTOEVENTO</t>
  </si>
  <si>
    <t>Memória de Cálculo</t>
  </si>
  <si>
    <t>Nº</t>
  </si>
  <si>
    <t># Evento</t>
  </si>
  <si>
    <t>Agrupador de Eventos</t>
  </si>
  <si>
    <t>TOTAL FINANC. POR FRENTE (R$):</t>
  </si>
  <si>
    <t>AGRUPADORES DE EVENTOS</t>
  </si>
  <si>
    <t>1. Selecione abaixo a forma de definição dos agrupadores de eventos:</t>
  </si>
  <si>
    <t>Nº do Evento</t>
  </si>
  <si>
    <t>Título do Evento</t>
  </si>
  <si>
    <t>Valor Total dos Eventos (R$)</t>
  </si>
  <si>
    <t>Administração Local</t>
  </si>
  <si>
    <t>% Período:</t>
  </si>
  <si>
    <t>Níveis a Exibir no Cronograma:</t>
  </si>
  <si>
    <t>PROPONENTE TOMADOR</t>
  </si>
  <si>
    <t>APELIDO EMPREENDIMENTO</t>
  </si>
  <si>
    <t>Falta distribuir:</t>
  </si>
  <si>
    <t>Valor (R$)</t>
  </si>
  <si>
    <t>Parcelas:</t>
  </si>
  <si>
    <t>Item CRONO</t>
  </si>
  <si>
    <t>OU</t>
  </si>
  <si>
    <t>Linha PO
Linha QCI
Total Adm Local</t>
  </si>
  <si>
    <t>Linhas a somar</t>
  </si>
  <si>
    <t>#</t>
  </si>
  <si>
    <t>%:</t>
  </si>
  <si>
    <t>Período:</t>
  </si>
  <si>
    <t>Contrapartida:</t>
  </si>
  <si>
    <t>Outros:</t>
  </si>
  <si>
    <t>Investimento:</t>
  </si>
  <si>
    <t>Acumulado:</t>
  </si>
  <si>
    <t>CRONOGRAMA PREVISTO PLE</t>
  </si>
  <si>
    <t>1. Digite nas células em amarelo o número do período em que os eventos serão concluídos:</t>
  </si>
  <si>
    <t>Filtro</t>
  </si>
  <si>
    <t>Título dos Eventos</t>
  </si>
  <si>
    <t>Informe abaixo o NÚMERO DO PERÍODO em que os eventos serão concluídos</t>
  </si>
  <si>
    <t>PLE - PLANILHA DE LEVANTAMENTO DE EVENTOS</t>
  </si>
  <si>
    <t>Medição:</t>
  </si>
  <si>
    <t>% Realizado Período.:</t>
  </si>
  <si>
    <t>% Realizado Acum.:</t>
  </si>
  <si>
    <t>Informe abaixo o NÚMERO DA MEDIÇÃO em que os eventos foram concluídos</t>
  </si>
  <si>
    <t>Data das Medições</t>
  </si>
  <si>
    <t>Medições</t>
  </si>
  <si>
    <t>%</t>
  </si>
  <si>
    <t>R$</t>
  </si>
  <si>
    <t>Responsável Técnico pela Fiscalização</t>
  </si>
  <si>
    <t>QCI - Quadro de Composição do Investimento</t>
  </si>
  <si>
    <t>% Maior:</t>
  </si>
  <si>
    <t>% Rateio CP Fin:</t>
  </si>
  <si>
    <t>MUNICÍPIO / UF</t>
  </si>
  <si>
    <t>VALORES CONTRATADOS (R$):</t>
  </si>
  <si>
    <t>CONTRAPARTIDA</t>
  </si>
  <si>
    <t>INVESTIMENTO</t>
  </si>
  <si>
    <t>% CP Min Prog:</t>
  </si>
  <si>
    <t>% CP Absoluta:</t>
  </si>
  <si>
    <t>% CP Max Rep:</t>
  </si>
  <si>
    <t>Saldo a Reprogramar</t>
  </si>
  <si>
    <t>Ordem Meta</t>
  </si>
  <si>
    <t>Arred</t>
  </si>
  <si>
    <t>Repasse (R$)</t>
  </si>
  <si>
    <t>Proporcional</t>
  </si>
  <si>
    <t>Busca</t>
  </si>
  <si>
    <t>Item de Investimento</t>
  </si>
  <si>
    <t>Subitem de Investimento</t>
  </si>
  <si>
    <t>Descrição da Meta</t>
  </si>
  <si>
    <t>Unid.</t>
  </si>
  <si>
    <t>Lote de Licitação / nº do CTEF</t>
  </si>
  <si>
    <t>Contrapartida Financeira (R$)</t>
  </si>
  <si>
    <t>Investimento (R$)</t>
  </si>
  <si>
    <t>Divisão do Investimento</t>
  </si>
  <si>
    <t>TR$</t>
  </si>
  <si>
    <t>TOTAL</t>
  </si>
  <si>
    <t>T%</t>
  </si>
  <si>
    <t>Representante Tomador</t>
  </si>
  <si>
    <t>Modo CAIXA</t>
  </si>
  <si>
    <t>INÍCIO DE OBRA</t>
  </si>
  <si>
    <t xml:space="preserve">Regime </t>
  </si>
  <si>
    <t>Fórmula CopMed</t>
  </si>
  <si>
    <t>Nº CTEF</t>
  </si>
  <si>
    <t>EMPRESA EXECUTORA</t>
  </si>
  <si>
    <t>CNPJ</t>
  </si>
  <si>
    <t>PERÍODO DA MEDIÇÃO</t>
  </si>
  <si>
    <t>Nº MEDIÇÃO</t>
  </si>
  <si>
    <t>ARREDMED</t>
  </si>
  <si>
    <t>Anexo</t>
  </si>
  <si>
    <t>Datas das Medições</t>
  </si>
  <si>
    <t>Orçamento Contratado</t>
  </si>
  <si>
    <t>Evolução Financeira (R$)</t>
  </si>
  <si>
    <t>Quadro de Glosas</t>
  </si>
  <si>
    <t>Acum. Anterior</t>
  </si>
  <si>
    <t>Período</t>
  </si>
  <si>
    <t>Acum. Incluindo o Período</t>
  </si>
  <si>
    <t>Valor Total Glosado (R$)</t>
  </si>
  <si>
    <t>Motivo da Glosa</t>
  </si>
  <si>
    <t>Valor Total Medido (R$)</t>
  </si>
  <si>
    <t>TOTAL:</t>
  </si>
  <si>
    <t>Observações</t>
  </si>
  <si>
    <t>Profissional CAIXA:</t>
  </si>
  <si>
    <t>Matrícula</t>
  </si>
  <si>
    <t>Acum. Previsto</t>
  </si>
  <si>
    <t>Acum. Chegada</t>
  </si>
  <si>
    <t>Outros</t>
  </si>
  <si>
    <t>Nº RRE</t>
  </si>
  <si>
    <t>Investimento</t>
  </si>
  <si>
    <t>Situação do TC/CR:</t>
  </si>
  <si>
    <t>Percentual previsto em:</t>
  </si>
  <si>
    <t>Lista CTEF</t>
  </si>
  <si>
    <t>PLE</t>
  </si>
  <si>
    <t>Acumulado Período Anterior</t>
  </si>
  <si>
    <t>Acumulado incluindo o Período</t>
  </si>
  <si>
    <t>Linha
PO</t>
  </si>
  <si>
    <t>BM / PLE nº</t>
  </si>
  <si>
    <t>Valor Total (R$)</t>
  </si>
  <si>
    <t>Acum. Período Anterior - CP</t>
  </si>
  <si>
    <t>Acum. Período Anterior - Outros</t>
  </si>
  <si>
    <t>No Período</t>
  </si>
  <si>
    <t>Acum. Incluindo Período - CP</t>
  </si>
  <si>
    <t>Acum. Incluindo Período - Outros</t>
  </si>
  <si>
    <t>Execução Física Acum.</t>
  </si>
  <si>
    <t>(%)</t>
  </si>
  <si>
    <t>Anterior (R$)</t>
  </si>
  <si>
    <t>Acumulado (R$)</t>
  </si>
  <si>
    <t>Max CP/OU Ant.</t>
  </si>
  <si>
    <t>Max CP/OU Acum.</t>
  </si>
  <si>
    <t>Contrapartida</t>
  </si>
  <si>
    <t># PÚBLICO</t>
  </si>
  <si>
    <t>Resumo de Valores por CTEF:</t>
  </si>
  <si>
    <t>CTEF:</t>
  </si>
  <si>
    <t>Valor Vigente (R$)</t>
  </si>
  <si>
    <t>Valor desta Medição (R$)</t>
  </si>
  <si>
    <t>Valor Acumulado (R$)</t>
  </si>
  <si>
    <t>Ofício n°:</t>
  </si>
  <si>
    <t>À</t>
  </si>
  <si>
    <t>CAIXA ECONÔMICA FEDERAL</t>
  </si>
  <si>
    <t>Assunto:</t>
  </si>
  <si>
    <t>REF:</t>
  </si>
  <si>
    <t>Objeto:</t>
  </si>
  <si>
    <t>Proponente / Tomador:</t>
  </si>
  <si>
    <t>Valores Vigentes do TC/CR</t>
  </si>
  <si>
    <t>Valores Medidos Acumulados</t>
  </si>
  <si>
    <t>Contrapartida Financeira:</t>
  </si>
  <si>
    <t>Execução Física:</t>
  </si>
  <si>
    <t>Atenciosamente,</t>
  </si>
  <si>
    <t>DADOS DO CONTRATO</t>
  </si>
  <si>
    <t>NOVIDADES DA VERSÃO</t>
  </si>
  <si>
    <t>LEGENDA:</t>
  </si>
  <si>
    <t>Fundo azul: navegação entre abas</t>
  </si>
  <si>
    <t>Fundo laranja: execução de macro</t>
  </si>
  <si>
    <r>
      <t xml:space="preserve">Cores das </t>
    </r>
    <r>
      <rPr>
        <b/>
        <sz val="10"/>
        <rFont val="Arial"/>
        <family val="2"/>
      </rPr>
      <t>células</t>
    </r>
    <r>
      <rPr>
        <sz val="10"/>
        <rFont val="Arial"/>
        <family val="2"/>
      </rPr>
      <t>:</t>
    </r>
  </si>
  <si>
    <r>
      <t xml:space="preserve">Cores dos </t>
    </r>
    <r>
      <rPr>
        <b/>
        <sz val="10"/>
        <rFont val="Arial"/>
        <family val="2"/>
      </rPr>
      <t>botões</t>
    </r>
    <r>
      <rPr>
        <sz val="10"/>
        <rFont val="Arial"/>
        <family val="2"/>
      </rPr>
      <t>:</t>
    </r>
  </si>
  <si>
    <t>Proposto</t>
  </si>
  <si>
    <t>(SELECIONAR)</t>
  </si>
  <si>
    <t>GIGOV</t>
  </si>
  <si>
    <t>Lista CTEFs</t>
  </si>
  <si>
    <t>V3.0.1</t>
  </si>
  <si>
    <t>PO</t>
  </si>
  <si>
    <t>Preço Unitário Edital (R$)</t>
  </si>
  <si>
    <t>Ajustes de formatações.</t>
  </si>
  <si>
    <t>Correção da aplicação do BDI não desonerado.</t>
  </si>
  <si>
    <t>Inclusão de coluna exclusiva "Preço Unitário Edital", para o Modo 'Orçamento Licitado'.</t>
  </si>
  <si>
    <t>Custo Unitário Referência (R$)</t>
  </si>
  <si>
    <t>V3.0.2</t>
  </si>
  <si>
    <t>CRONOGRAMA</t>
  </si>
  <si>
    <t>QCI</t>
  </si>
  <si>
    <t>Correção na formulação do total por Repasse, CP e Outros.</t>
  </si>
  <si>
    <t>Correção na formulação do arredondamento no rateio dos valores do QCI.</t>
  </si>
  <si>
    <t>Correção na formulação do total acumulado por Repasse, CP e Outros</t>
  </si>
  <si>
    <t>RRE</t>
  </si>
  <si>
    <t>ORÇAMENTO</t>
  </si>
  <si>
    <t>Ampliada obtenção de dados da Planilha Referência de 20.000 para 65.536 linhas.</t>
  </si>
  <si>
    <t>Correção do Problema de Guias ocultas no BROFFICE.</t>
  </si>
  <si>
    <t>V3.0.3</t>
  </si>
  <si>
    <t>CÁLCULO</t>
  </si>
  <si>
    <t>Corrigida lentidão e travamento ao incluir e excluir frentes.</t>
  </si>
  <si>
    <t>V3.0.4</t>
  </si>
  <si>
    <t>Correção da CPRB que exibia 4,5% mesmo quando não desonerado.</t>
  </si>
  <si>
    <t>Correção da distribuição de Repasse, CP e Outros para as metas manuais.</t>
  </si>
  <si>
    <t>Adicionado botão para adotar a CP do QCI como CP do contrato (zera saldo a reprogramar de CP).</t>
  </si>
  <si>
    <t>V3.0.5</t>
  </si>
  <si>
    <t>Corrigido modo de Cálculo da Planilha para Automático.</t>
  </si>
  <si>
    <t>v3.0.5</t>
  </si>
  <si>
    <t>SERVIÇOS PRELIMINARES</t>
  </si>
  <si>
    <t>PREFEITO MUNICIPAL</t>
  </si>
  <si>
    <t>OGU</t>
  </si>
  <si>
    <t>Em Análise</t>
  </si>
  <si>
    <t>2.SERVIÇOS PRELIMINARES</t>
  </si>
  <si>
    <t>JOSÉ AIRTON JUNHO DOS REIS</t>
  </si>
  <si>
    <t>94287</t>
  </si>
  <si>
    <t>ENGENHEIRO CIVIL</t>
  </si>
  <si>
    <t>56.250/D</t>
  </si>
  <si>
    <t>94273</t>
  </si>
  <si>
    <t>PLACA DE OBRA 1,50X3,00M</t>
  </si>
  <si>
    <t>01</t>
  </si>
  <si>
    <t>PAVIMENTAÇÃO DE VIAS</t>
  </si>
  <si>
    <t>DRENAGEM SUPERFICIAL</t>
  </si>
  <si>
    <t>92394</t>
  </si>
  <si>
    <t>3.PAVIMENTAÇÃO DE VIAS</t>
  </si>
  <si>
    <t>4.DRENAGEM SUPERFICIAL</t>
  </si>
  <si>
    <t>PREFEITURA MUNICIPAL DE CONCEIÇÃO DOS OUROS</t>
  </si>
  <si>
    <t>CONCEIÇÃO DOS OUROS/MG</t>
  </si>
  <si>
    <t>LUÍS FERNANDO ROSA DE CASTRO</t>
  </si>
  <si>
    <t>Adequação de Estradas Vicinais</t>
  </si>
  <si>
    <t xml:space="preserve">Adequação de Estradas Vicinais  </t>
  </si>
  <si>
    <t>1090.502-01/2023</t>
  </si>
  <si>
    <t>950338/2023</t>
  </si>
  <si>
    <t>EMPREITADA POR PREÇO GLOBAL</t>
  </si>
  <si>
    <t>ACESSO CESÁRIOS 3ª ETAPA</t>
  </si>
  <si>
    <t>TRÊS CRUZES 1ª ETAPA</t>
  </si>
  <si>
    <t>CESÁRIOS (FAZ. SANTA TEREZINHA) 2ª ETAPA</t>
  </si>
  <si>
    <t>MG20242788680</t>
  </si>
  <si>
    <t>103689</t>
  </si>
  <si>
    <t>SICRO</t>
  </si>
  <si>
    <t>4011209</t>
  </si>
  <si>
    <t>Regularização do subleito</t>
  </si>
  <si>
    <t>ADMINISTRAÇÃO LOCAL</t>
  </si>
  <si>
    <t>Composição</t>
  </si>
  <si>
    <t>001</t>
  </si>
  <si>
    <t>5914359</t>
  </si>
  <si>
    <t>Transporte com caminhão basculante de 10 m³ - rodovia em leito natural</t>
  </si>
  <si>
    <t>SINALIZAÇÃO VIÁRIA</t>
  </si>
  <si>
    <t>5213445</t>
  </si>
  <si>
    <t>5213440</t>
  </si>
  <si>
    <t>5213856</t>
  </si>
  <si>
    <t>5213863</t>
  </si>
  <si>
    <t>Suporte metálico galvanizado para placa de advertência ou regulamentação - lado ou diâmetro de 0,60 m - fornecimento e implantação</t>
  </si>
  <si>
    <t>Placa de regulamentação em aço D = 0,60 m - película retrorrefletiva tipo I + SI - fornecimento e implantação</t>
  </si>
  <si>
    <t>Suporte metálico galvanizado para placa de regulamentação - R1 - lado de 0,331 m - fornecimento e implantação</t>
  </si>
  <si>
    <t>Placa de regulamentação em aço, R1 lado 0,331 m - película retrorrefletiva tipo I + SI - fornecimento e implantação</t>
  </si>
  <si>
    <t>NÃO DESONERADO</t>
  </si>
  <si>
    <t>Automática, conforme os agrupadores Nível 2 do Orçamento</t>
  </si>
  <si>
    <t xml:space="preserve">ETAPA 1ª: 6,01+34,43+48,32+11,13+33,65+6,55+4,51+5,43+8,01+10,74+14,36+9,17+6,02+8,45+13,45+10,57+9,05+8,19+8,21+6,05+6,04+5,18+23+43+33,8+10,4+48,28+34,39 = 466,39 M                                                ETAPA 2ª: 10,85+13+11,32+11,1+15,26+13,49+13,47+11,82+8,49+13,3+10,75+14,36+14,56+5,47+11,02+14,9+13,03+17,85+14,54+17,99+16,37+13,75+12,25+5,65+3,43+2,32+2,26+13,69+10,38+6,48+6,01+2,91+3,44 = 355,51 M                                               ETAPA 3ª: 10,32+4,21+0,83+4,16+0,78+16,27+0,68+3,87+0,85+2,12+0,97+9,41+8,04+3,63+4,84+3,19+2,09+6,41+9,15+7,51+9,29+7,82+8,89+5,34+4,99+8,6 = 144,26 M                            </t>
  </si>
  <si>
    <t xml:space="preserve">ETAPA 1ª: 34,43+48,32+11,13+33,65+6,55+4,51+5,43+8,01+10,74+14,36+9,17+8,45+13,45+10,57+9,05+8,19+8,21+6,05+5,18+23+43+33,8+10,4+48,28+34,39 = 448,32 M                  ETAPA 2ª: 13+11,32+11,1+15,26+13,49+13,47+11,82+8,49+13,3+10,75+14,36+14,56+5,47+14,9+13,03+17,85+14,54+17,99+16,37+13,75+12,25+5,65+3,43+2,32+2,26+13,69+6,48+6,01+2,91+3,44 = 323,26 M                  ETAPA 3ª: 4,21+0,83+4,16+0,78+16,27+0,68+3,87+0,85+2,12+0,97+9,41+3,63+4,84+3,19+2,09+6,41+9,15+9,29+7,82+8,89+5,34+4,99+8,6 = 118,39 M                                                 </t>
  </si>
  <si>
    <t>ÁRE CALCULADA PELO SOFTWARE AUTOCAD CONFORME PROJETOS BÁSICOS FOLHA 01 E 02</t>
  </si>
  <si>
    <t xml:space="preserve">ETAPA 1ª: 1227,65+(0,3*448,32) = 1.362,15 M2                                         ETAPA 2ª: 1757,74+(0,3*323,26) = 1.854,72 M2                                            ETAPA 3ª: 542,63+(0,3*118,39) = 542,63 M2 </t>
  </si>
  <si>
    <t>M2</t>
  </si>
  <si>
    <t>TXKM</t>
  </si>
  <si>
    <t xml:space="preserve">INSTALAÇÃO DE PLACAS DE PARE CONFORME PROJETO BÁSICO                                                   ETAPA 1ª: 2 UNIDADES                          ETAPA 3ª: 2 UNIDADES                           </t>
  </si>
  <si>
    <t xml:space="preserve">INSTALAÇÃO DE PLACAS DE VELOCIDADE CONFORME PROJETO BÁSICO                                                   ETAPA 2ª: 2 UNIDADES                                                  </t>
  </si>
  <si>
    <t xml:space="preserve">m² de pavimentação x espessura x densidade x distância; espessura areais = 0,06 m; densidade = 1,6 t/m³
ETAPA 1ª =
1227,65x0,06x1,6x10,00= 1.178,54 
ETAPA 2ª =
1757,74x0,06x1,6x9,10= 1.535,56
ETAPA 3ª =
542,63x0,06x1,6x4,71= 245,36                      </t>
  </si>
  <si>
    <t>mês</t>
  </si>
  <si>
    <t>Engenheiro de obra por 3 meses de obra, 5 semanas por mês, 2h por dia, 5 dias por semana = 150 H, sendo 220 H por mês, considera-se o coeficiente de 150h/220h = 0,681818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</si>
</sst>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3" formatCode="_-* #,##0.00_-;\-* #,##0.00_-;_-* &quot;-&quot;??_-;_-@_-"/>
    <numFmt numFmtId="164" formatCode="_(&quot;R$ &quot;* #,##0.00_);_(&quot;R$ &quot;* \(#,##0.00\);_(&quot;R$ &quot;* \-??_);_(@_)"/>
    <numFmt numFmtId="165" formatCode="_-* #,##0.00_-;\-* #,##0.00_-;_-* \-??_-;_-@_-"/>
    <numFmt numFmtId="166" formatCode="mm\-yyyy"/>
    <numFmt numFmtId="167" formatCode="General;General"/>
    <numFmt numFmtId="168" formatCode="dddd&quot;, &quot;mmmm\ dd&quot;, &quot;yyyy"/>
    <numFmt numFmtId="169" formatCode="dd&quot; de &quot;mmmm&quot; de &quot;yyyy"/>
    <numFmt numFmtId="170" formatCode="mmm\-yy;@"/>
    <numFmt numFmtId="171" formatCode="_(* #,##0.00_);_(* \(#,##0.00\);_(* \-??_);_(@_)"/>
    <numFmt numFmtId="172" formatCode="0\."/>
    <numFmt numFmtId="173" formatCode="_(\ #,##0.00_);_(&quot; (&quot;#,##0.00\);_(&quot; -&quot;??_);_(@_)"/>
    <numFmt numFmtId="174" formatCode="mm/yy"/>
    <numFmt numFmtId="175" formatCode="General;;"/>
    <numFmt numFmtId="176" formatCode="&quot;Medição &quot;0"/>
    <numFmt numFmtId="177" formatCode="_(#,##0.00_);_(* \(#,##0.00\);_(* \-??_);_(@_)"/>
    <numFmt numFmtId="178" formatCode="_-#,##0.00_-;\-#,##0.00_-;_-&quot; -&quot;??_-;_-@_-"/>
    <numFmt numFmtId="179" formatCode="##\."/>
    <numFmt numFmtId="180" formatCode="_-&quot;R$ &quot;* #,##0.00_-;&quot;-R$ &quot;* #,##0.00_-;_-&quot;R$ &quot;* \-??_-;_-@_-"/>
    <numFmt numFmtId="181" formatCode="&quot;( &quot;0.00%&quot; )&quot;"/>
    <numFmt numFmtId="182" formatCode="dd/mm/yy;@"/>
    <numFmt numFmtId="184" formatCode="&quot;Medição &quot;##"/>
    <numFmt numFmtId="185" formatCode="#,##0.00_ ;\-#,##0.00\ "/>
    <numFmt numFmtId="195" formatCode="_(* #,##0.00_);_(* \(#,##0.00\);;_(@_)"/>
    <numFmt numFmtId="196" formatCode="[$-F800]dddd\,\ mmmm\ dd\,\ yyyy"/>
  </numFmts>
  <fonts count="68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b/>
      <sz val="11"/>
      <name val="Arial"/>
      <family val="2"/>
    </font>
    <font>
      <b/>
      <sz val="13"/>
      <name val="Arial"/>
      <family val="2"/>
    </font>
    <font>
      <b/>
      <sz val="18"/>
      <name val="Arial"/>
      <family val="2"/>
    </font>
    <font>
      <b/>
      <sz val="11"/>
      <color indexed="10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indexed="8"/>
      <name val="Segoe U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u/>
      <sz val="11"/>
      <color indexed="8"/>
      <name val="Calibri"/>
      <family val="2"/>
    </font>
    <font>
      <b/>
      <sz val="10"/>
      <color indexed="12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i/>
      <sz val="12"/>
      <name val="Calibri"/>
      <family val="2"/>
    </font>
    <font>
      <i/>
      <u/>
      <sz val="12"/>
      <name val="Calibri"/>
      <family val="2"/>
    </font>
    <font>
      <u/>
      <sz val="10"/>
      <name val="Arial"/>
      <family val="2"/>
    </font>
    <font>
      <sz val="14"/>
      <color indexed="9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 Narrow"/>
      <family val="2"/>
    </font>
    <font>
      <sz val="11"/>
      <color indexed="10"/>
      <name val="Arial"/>
      <family val="2"/>
    </font>
    <font>
      <b/>
      <i/>
      <sz val="10"/>
      <name val="Arial"/>
      <family val="2"/>
    </font>
    <font>
      <b/>
      <sz val="9"/>
      <color indexed="8"/>
      <name val="Segoe UI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Segoe UI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indexed="9"/>
      <name val="Arial"/>
      <family val="2"/>
    </font>
    <font>
      <b/>
      <sz val="12"/>
      <color indexed="10"/>
      <name val="Arial"/>
      <family val="2"/>
    </font>
    <font>
      <b/>
      <sz val="8"/>
      <color indexed="10"/>
      <name val="Calibri"/>
      <family val="2"/>
    </font>
    <font>
      <b/>
      <sz val="11"/>
      <color indexed="10"/>
      <name val="Calibri"/>
      <family val="2"/>
    </font>
    <font>
      <sz val="10"/>
      <color indexed="44"/>
      <name val="Arial"/>
      <family val="2"/>
    </font>
    <font>
      <u/>
      <sz val="10"/>
      <color theme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31"/>
        <bgColor indexed="42"/>
      </patternFill>
    </fill>
    <fill>
      <patternFill patternType="solid">
        <fgColor indexed="23"/>
        <bgColor indexed="55"/>
      </patternFill>
    </fill>
    <fill>
      <patternFill patternType="solid">
        <fgColor indexed="44"/>
        <bgColor indexed="22"/>
      </patternFill>
    </fill>
    <fill>
      <patternFill patternType="solid">
        <fgColor indexed="41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4"/>
        <bgColor indexed="26"/>
      </patternFill>
    </fill>
    <fill>
      <patternFill patternType="lightUp"/>
    </fill>
    <fill>
      <patternFill patternType="lightUp">
        <fgColor indexed="22"/>
      </patternFill>
    </fill>
    <fill>
      <patternFill patternType="lightUp">
        <bgColor indexed="42"/>
      </patternFill>
    </fill>
    <fill>
      <patternFill patternType="lightUp">
        <fgColor indexed="31"/>
      </patternFill>
    </fill>
  </fills>
  <borders count="1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55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55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55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55"/>
      </top>
      <bottom/>
      <diagonal/>
    </border>
    <border>
      <left style="thin">
        <color indexed="8"/>
      </left>
      <right style="hair">
        <color indexed="8"/>
      </right>
      <top style="hair">
        <color indexed="55"/>
      </top>
      <bottom/>
      <diagonal/>
    </border>
    <border>
      <left style="hair">
        <color indexed="8"/>
      </left>
      <right style="thin">
        <color indexed="8"/>
      </right>
      <top style="hair">
        <color indexed="55"/>
      </top>
      <bottom/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</borders>
  <cellStyleXfs count="5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3" fillId="2" borderId="0" applyNumberFormat="0" applyBorder="0" applyAlignment="0" applyProtection="0"/>
    <xf numFmtId="0" fontId="4" fillId="11" borderId="1" applyNumberFormat="0" applyAlignment="0" applyProtection="0"/>
    <xf numFmtId="0" fontId="5" fillId="12" borderId="2" applyNumberFormat="0" applyAlignment="0" applyProtection="0"/>
    <xf numFmtId="0" fontId="6" fillId="0" borderId="3" applyNumberFormat="0" applyFill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7" fillId="3" borderId="1" applyNumberFormat="0" applyAlignment="0" applyProtection="0"/>
    <xf numFmtId="0" fontId="67" fillId="0" borderId="0" applyNumberFormat="0" applyFill="0" applyBorder="0" applyAlignment="0" applyProtection="0"/>
    <xf numFmtId="0" fontId="8" fillId="16" borderId="0" applyNumberFormat="0" applyBorder="0" applyAlignment="0" applyProtection="0"/>
    <xf numFmtId="180" fontId="58" fillId="0" borderId="0" applyFill="0" applyBorder="0" applyAlignment="0" applyProtection="0"/>
    <xf numFmtId="164" fontId="58" fillId="0" borderId="0" applyFill="0" applyBorder="0" applyAlignment="0" applyProtection="0"/>
    <xf numFmtId="0" fontId="9" fillId="6" borderId="0" applyNumberFormat="0" applyBorder="0" applyAlignment="0" applyProtection="0"/>
    <xf numFmtId="0" fontId="58" fillId="0" borderId="0"/>
    <xf numFmtId="0" fontId="1" fillId="0" borderId="0"/>
    <xf numFmtId="0" fontId="10" fillId="0" borderId="0"/>
    <xf numFmtId="0" fontId="58" fillId="5" borderId="4" applyNumberFormat="0" applyAlignment="0" applyProtection="0"/>
    <xf numFmtId="9" fontId="58" fillId="0" borderId="0" applyFill="0" applyBorder="0" applyAlignment="0" applyProtection="0"/>
    <xf numFmtId="9" fontId="58" fillId="0" borderId="0" applyFill="0" applyBorder="0" applyAlignment="0" applyProtection="0"/>
    <xf numFmtId="0" fontId="11" fillId="11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9" applyNumberFormat="0" applyFill="0" applyAlignment="0" applyProtection="0"/>
    <xf numFmtId="171" fontId="58" fillId="0" borderId="0" applyFill="0" applyBorder="0" applyAlignment="0" applyProtection="0"/>
    <xf numFmtId="165" fontId="58" fillId="0" borderId="0" applyFill="0" applyBorder="0" applyAlignment="0" applyProtection="0"/>
    <xf numFmtId="43" fontId="1" fillId="0" borderId="0" applyFont="0" applyFill="0" applyBorder="0" applyAlignment="0" applyProtection="0"/>
  </cellStyleXfs>
  <cellXfs count="838">
    <xf numFmtId="0" fontId="0" fillId="0" borderId="0" xfId="0"/>
    <xf numFmtId="0" fontId="0" fillId="0" borderId="10" xfId="0" applyFill="1" applyBorder="1"/>
    <xf numFmtId="0" fontId="0" fillId="0" borderId="11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12" xfId="0" applyFill="1" applyBorder="1"/>
    <xf numFmtId="0" fontId="0" fillId="6" borderId="0" xfId="0" applyFont="1" applyFill="1" applyBorder="1"/>
    <xf numFmtId="0" fontId="0" fillId="17" borderId="0" xfId="0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0" fontId="25" fillId="0" borderId="0" xfId="0" applyFont="1" applyAlignment="1">
      <alignment vertical="center"/>
    </xf>
    <xf numFmtId="0" fontId="0" fillId="0" borderId="13" xfId="0" applyBorder="1"/>
    <xf numFmtId="0" fontId="26" fillId="0" borderId="0" xfId="0" applyFont="1"/>
    <xf numFmtId="0" fontId="26" fillId="0" borderId="14" xfId="0" applyFont="1" applyBorder="1" applyAlignment="1" applyProtection="1">
      <alignment horizontal="left"/>
    </xf>
    <xf numFmtId="0" fontId="26" fillId="0" borderId="14" xfId="0" applyFont="1" applyBorder="1" applyAlignment="1" applyProtection="1">
      <alignment horizontal="center"/>
    </xf>
    <xf numFmtId="0" fontId="0" fillId="0" borderId="0" xfId="0" applyFont="1" applyAlignment="1" applyProtection="1">
      <alignment horizontal="left"/>
    </xf>
    <xf numFmtId="0" fontId="0" fillId="0" borderId="0" xfId="0" applyFont="1" applyProtection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Protection="1"/>
    <xf numFmtId="0" fontId="0" fillId="0" borderId="0" xfId="0" applyFont="1" applyAlignment="1" applyProtection="1">
      <alignment horizontal="center"/>
    </xf>
    <xf numFmtId="0" fontId="0" fillId="0" borderId="15" xfId="0" applyFont="1" applyBorder="1" applyAlignment="1">
      <alignment vertical="center"/>
    </xf>
    <xf numFmtId="0" fontId="0" fillId="17" borderId="16" xfId="0" applyFont="1" applyFill="1" applyBorder="1" applyAlignment="1" applyProtection="1">
      <alignment vertical="center"/>
      <protection locked="0"/>
    </xf>
    <xf numFmtId="0" fontId="0" fillId="0" borderId="17" xfId="0" applyFont="1" applyBorder="1" applyAlignment="1">
      <alignment vertical="center"/>
    </xf>
    <xf numFmtId="49" fontId="0" fillId="6" borderId="18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Border="1" applyAlignment="1">
      <alignment vertical="center"/>
    </xf>
    <xf numFmtId="49" fontId="0" fillId="6" borderId="20" xfId="0" applyNumberFormat="1" applyFont="1" applyFill="1" applyBorder="1" applyAlignment="1" applyProtection="1">
      <alignment vertical="center"/>
      <protection locked="0"/>
    </xf>
    <xf numFmtId="4" fontId="0" fillId="6" borderId="20" xfId="0" applyNumberFormat="1" applyFill="1" applyBorder="1" applyAlignment="1" applyProtection="1">
      <alignment horizontal="left" vertical="center"/>
      <protection locked="0"/>
    </xf>
    <xf numFmtId="10" fontId="0" fillId="6" borderId="20" xfId="0" applyNumberFormat="1" applyFill="1" applyBorder="1" applyAlignment="1" applyProtection="1">
      <alignment horizontal="left" vertical="center"/>
      <protection locked="0"/>
    </xf>
    <xf numFmtId="0" fontId="0" fillId="0" borderId="21" xfId="0" applyFont="1" applyBorder="1" applyAlignment="1">
      <alignment vertical="center"/>
    </xf>
    <xf numFmtId="10" fontId="0" fillId="6" borderId="22" xfId="0" applyNumberFormat="1" applyFill="1" applyBorder="1" applyAlignment="1" applyProtection="1">
      <alignment horizontal="left" vertical="center"/>
      <protection locked="0"/>
    </xf>
    <xf numFmtId="10" fontId="0" fillId="0" borderId="0" xfId="0" applyNumberFormat="1" applyFill="1" applyBorder="1" applyAlignment="1" applyProtection="1">
      <alignment horizontal="left" vertical="center"/>
    </xf>
    <xf numFmtId="0" fontId="0" fillId="0" borderId="23" xfId="0" applyFont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17" borderId="24" xfId="0" applyFont="1" applyFill="1" applyBorder="1" applyAlignment="1" applyProtection="1">
      <alignment vertical="center"/>
      <protection locked="0"/>
    </xf>
    <xf numFmtId="0" fontId="0" fillId="0" borderId="25" xfId="0" applyFont="1" applyBorder="1" applyAlignment="1">
      <alignment vertical="center"/>
    </xf>
    <xf numFmtId="166" fontId="0" fillId="6" borderId="22" xfId="0" applyNumberForma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4" fontId="0" fillId="6" borderId="22" xfId="0" applyNumberFormat="1" applyFill="1" applyBorder="1" applyAlignment="1" applyProtection="1">
      <alignment horizontal="left" vertical="center"/>
      <protection locked="0"/>
    </xf>
    <xf numFmtId="14" fontId="0" fillId="6" borderId="16" xfId="0" applyNumberForma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166" fontId="0" fillId="6" borderId="26" xfId="0" applyNumberFormat="1" applyFill="1" applyBorder="1" applyAlignment="1" applyProtection="1">
      <alignment horizontal="left" vertical="center"/>
      <protection locked="0"/>
    </xf>
    <xf numFmtId="14" fontId="0" fillId="6" borderId="27" xfId="0" applyNumberFormat="1" applyFill="1" applyBorder="1" applyAlignment="1" applyProtection="1">
      <alignment horizontal="left" vertical="center"/>
      <protection locked="0"/>
    </xf>
    <xf numFmtId="49" fontId="0" fillId="6" borderId="16" xfId="0" applyNumberFormat="1" applyFont="1" applyFill="1" applyBorder="1" applyAlignment="1" applyProtection="1">
      <alignment vertical="center"/>
      <protection locked="0"/>
    </xf>
    <xf numFmtId="49" fontId="0" fillId="6" borderId="27" xfId="0" applyNumberFormat="1" applyFont="1" applyFill="1" applyBorder="1" applyAlignment="1" applyProtection="1">
      <alignment vertical="center"/>
      <protection locked="0"/>
    </xf>
    <xf numFmtId="49" fontId="0" fillId="6" borderId="16" xfId="0" applyNumberFormat="1" applyFill="1" applyBorder="1" applyAlignment="1" applyProtection="1">
      <alignment vertical="center"/>
      <protection locked="0"/>
    </xf>
    <xf numFmtId="49" fontId="0" fillId="6" borderId="22" xfId="0" applyNumberFormat="1" applyFill="1" applyBorder="1" applyAlignment="1" applyProtection="1">
      <alignment vertical="center"/>
      <protection locked="0"/>
    </xf>
    <xf numFmtId="0" fontId="28" fillId="0" borderId="12" xfId="0" applyFont="1" applyBorder="1" applyAlignment="1">
      <alignment horizontal="left"/>
    </xf>
    <xf numFmtId="0" fontId="0" fillId="0" borderId="28" xfId="0" applyBorder="1"/>
    <xf numFmtId="0" fontId="29" fillId="0" borderId="29" xfId="0" applyFont="1" applyBorder="1" applyAlignment="1">
      <alignment horizontal="left" indent="1"/>
    </xf>
    <xf numFmtId="0" fontId="0" fillId="0" borderId="29" xfId="0" applyBorder="1" applyAlignment="1">
      <alignment vertical="center"/>
    </xf>
    <xf numFmtId="0" fontId="30" fillId="0" borderId="12" xfId="0" applyFont="1" applyBorder="1"/>
    <xf numFmtId="0" fontId="29" fillId="0" borderId="0" xfId="0" applyFont="1" applyAlignment="1">
      <alignment horizontal="left" indent="1"/>
    </xf>
    <xf numFmtId="0" fontId="0" fillId="0" borderId="12" xfId="0" applyBorder="1"/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vertical="top" indent="1"/>
    </xf>
    <xf numFmtId="0" fontId="14" fillId="0" borderId="0" xfId="0" applyFont="1" applyBorder="1" applyAlignment="1">
      <alignment horizontal="left" indent="1"/>
    </xf>
    <xf numFmtId="0" fontId="14" fillId="0" borderId="0" xfId="0" applyFont="1" applyBorder="1" applyAlignment="1">
      <alignment horizontal="left" vertical="top" indent="1"/>
    </xf>
    <xf numFmtId="0" fontId="0" fillId="0" borderId="0" xfId="0" applyBorder="1" applyAlignment="1">
      <alignment vertical="center"/>
    </xf>
    <xf numFmtId="0" fontId="0" fillId="0" borderId="0" xfId="35" applyFont="1" applyProtection="1"/>
    <xf numFmtId="0" fontId="26" fillId="0" borderId="0" xfId="35" applyFont="1" applyAlignment="1" applyProtection="1">
      <alignment horizontal="center"/>
    </xf>
    <xf numFmtId="0" fontId="25" fillId="0" borderId="0" xfId="35" applyFont="1" applyAlignment="1" applyProtection="1">
      <alignment horizontal="center"/>
    </xf>
    <xf numFmtId="0" fontId="0" fillId="0" borderId="30" xfId="0" applyFont="1" applyBorder="1" applyAlignment="1" applyProtection="1">
      <alignment horizontal="center"/>
    </xf>
    <xf numFmtId="0" fontId="26" fillId="0" borderId="31" xfId="35" applyFont="1" applyBorder="1" applyAlignment="1" applyProtection="1">
      <alignment horizontal="center"/>
    </xf>
    <xf numFmtId="10" fontId="31" fillId="0" borderId="31" xfId="35" applyNumberFormat="1" applyFont="1" applyFill="1" applyBorder="1" applyAlignment="1" applyProtection="1">
      <alignment horizontal="center"/>
    </xf>
    <xf numFmtId="0" fontId="26" fillId="0" borderId="30" xfId="37" applyFont="1" applyBorder="1" applyAlignment="1" applyProtection="1">
      <alignment horizontal="left" vertical="top"/>
    </xf>
    <xf numFmtId="0" fontId="0" fillId="0" borderId="14" xfId="35" applyFont="1" applyFill="1" applyBorder="1" applyAlignment="1" applyProtection="1">
      <alignment horizontal="left" vertical="top" wrapText="1"/>
    </xf>
    <xf numFmtId="0" fontId="26" fillId="0" borderId="0" xfId="35" applyFont="1" applyProtection="1"/>
    <xf numFmtId="0" fontId="26" fillId="0" borderId="31" xfId="35" applyFont="1" applyFill="1" applyBorder="1" applyAlignment="1" applyProtection="1">
      <alignment horizontal="center" vertical="center" wrapText="1"/>
    </xf>
    <xf numFmtId="0" fontId="10" fillId="0" borderId="0" xfId="35" applyFont="1" applyFill="1" applyBorder="1" applyAlignment="1" applyProtection="1">
      <alignment horizontal="left"/>
    </xf>
    <xf numFmtId="0" fontId="32" fillId="0" borderId="31" xfId="35" applyFont="1" applyBorder="1" applyAlignment="1" applyProtection="1">
      <alignment horizontal="center" vertical="center"/>
    </xf>
    <xf numFmtId="10" fontId="32" fillId="6" borderId="31" xfId="35" applyNumberFormat="1" applyFont="1" applyFill="1" applyBorder="1" applyAlignment="1" applyProtection="1">
      <alignment horizontal="center" vertical="center"/>
      <protection locked="0"/>
    </xf>
    <xf numFmtId="10" fontId="32" fillId="0" borderId="31" xfId="35" applyNumberFormat="1" applyFont="1" applyFill="1" applyBorder="1" applyAlignment="1" applyProtection="1">
      <alignment horizontal="center" vertical="center"/>
    </xf>
    <xf numFmtId="10" fontId="32" fillId="0" borderId="31" xfId="35" applyNumberFormat="1" applyFont="1" applyFill="1" applyBorder="1" applyAlignment="1" applyProtection="1">
      <alignment horizontal="center" vertical="center" wrapText="1"/>
    </xf>
    <xf numFmtId="0" fontId="32" fillId="0" borderId="31" xfId="35" applyFont="1" applyFill="1" applyBorder="1" applyAlignment="1" applyProtection="1">
      <alignment horizontal="center" vertical="center" wrapText="1"/>
    </xf>
    <xf numFmtId="0" fontId="32" fillId="8" borderId="31" xfId="35" applyFont="1" applyFill="1" applyBorder="1" applyAlignment="1" applyProtection="1">
      <alignment horizontal="center" vertical="center" wrapText="1"/>
    </xf>
    <xf numFmtId="10" fontId="19" fillId="8" borderId="31" xfId="35" applyNumberFormat="1" applyFont="1" applyFill="1" applyBorder="1" applyAlignment="1" applyProtection="1">
      <alignment horizontal="center" vertical="center"/>
    </xf>
    <xf numFmtId="0" fontId="33" fillId="0" borderId="0" xfId="35" applyFont="1" applyBorder="1" applyAlignment="1" applyProtection="1">
      <alignment horizontal="right" vertical="center"/>
    </xf>
    <xf numFmtId="0" fontId="0" fillId="0" borderId="0" xfId="35" applyFont="1" applyBorder="1" applyAlignment="1" applyProtection="1">
      <alignment horizontal="center" vertical="top"/>
    </xf>
    <xf numFmtId="0" fontId="35" fillId="0" borderId="0" xfId="0" applyFont="1" applyBorder="1" applyAlignment="1" applyProtection="1">
      <alignment horizontal="right" vertical="center"/>
    </xf>
    <xf numFmtId="0" fontId="35" fillId="0" borderId="0" xfId="0" applyFont="1" applyBorder="1" applyAlignment="1" applyProtection="1">
      <alignment horizontal="left" vertical="center"/>
    </xf>
    <xf numFmtId="0" fontId="35" fillId="0" borderId="0" xfId="0" applyFont="1" applyBorder="1" applyAlignment="1" applyProtection="1">
      <alignment horizontal="center" vertical="top"/>
    </xf>
    <xf numFmtId="0" fontId="37" fillId="0" borderId="0" xfId="35" applyFont="1" applyBorder="1" applyAlignment="1" applyProtection="1">
      <alignment horizontal="center" vertical="top"/>
    </xf>
    <xf numFmtId="169" fontId="0" fillId="0" borderId="0" xfId="35" applyNumberFormat="1" applyFont="1" applyAlignment="1" applyProtection="1"/>
    <xf numFmtId="0" fontId="26" fillId="0" borderId="10" xfId="35" applyFont="1" applyBorder="1" applyAlignment="1" applyProtection="1">
      <alignment horizontal="left"/>
    </xf>
    <xf numFmtId="0" fontId="0" fillId="0" borderId="10" xfId="35" applyFont="1" applyBorder="1" applyProtection="1"/>
    <xf numFmtId="0" fontId="32" fillId="0" borderId="0" xfId="35" applyFont="1" applyBorder="1" applyProtection="1"/>
    <xf numFmtId="0" fontId="0" fillId="0" borderId="0" xfId="35" applyFont="1" applyBorder="1" applyProtection="1"/>
    <xf numFmtId="0" fontId="26" fillId="0" borderId="0" xfId="37" applyFont="1" applyBorder="1" applyAlignment="1" applyProtection="1">
      <alignment horizontal="left" vertical="top"/>
    </xf>
    <xf numFmtId="0" fontId="0" fillId="0" borderId="0" xfId="35" applyNumberFormat="1" applyFont="1" applyFill="1" applyBorder="1" applyAlignment="1" applyProtection="1">
      <alignment vertical="top"/>
    </xf>
    <xf numFmtId="167" fontId="0" fillId="0" borderId="0" xfId="35" applyNumberFormat="1" applyFont="1" applyFill="1" applyBorder="1" applyAlignment="1" applyProtection="1"/>
    <xf numFmtId="0" fontId="32" fillId="0" borderId="0" xfId="35" applyFont="1" applyProtection="1"/>
    <xf numFmtId="167" fontId="0" fillId="0" borderId="0" xfId="35" applyNumberFormat="1" applyFont="1" applyFill="1" applyBorder="1" applyAlignment="1" applyProtection="1">
      <alignment vertical="top"/>
    </xf>
    <xf numFmtId="0" fontId="0" fillId="0" borderId="0" xfId="0" applyFont="1" applyFill="1"/>
    <xf numFmtId="0" fontId="0" fillId="0" borderId="0" xfId="0" applyBorder="1"/>
    <xf numFmtId="0" fontId="38" fillId="0" borderId="0" xfId="0" applyFont="1" applyFill="1" applyAlignment="1">
      <alignment vertical="center"/>
    </xf>
    <xf numFmtId="0" fontId="25" fillId="0" borderId="0" xfId="0" applyFont="1" applyAlignment="1">
      <alignment horizontal="left" vertic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/>
    <xf numFmtId="0" fontId="0" fillId="0" borderId="0" xfId="0" applyFont="1" applyBorder="1"/>
    <xf numFmtId="0" fontId="39" fillId="0" borderId="0" xfId="0" applyFont="1" applyAlignment="1">
      <alignment horizontal="left" vertical="center"/>
    </xf>
    <xf numFmtId="0" fontId="26" fillId="0" borderId="0" xfId="0" applyFont="1" applyBorder="1" applyAlignment="1" applyProtection="1">
      <alignment horizontal="center"/>
    </xf>
    <xf numFmtId="0" fontId="40" fillId="0" borderId="0" xfId="0" applyFont="1"/>
    <xf numFmtId="0" fontId="0" fillId="0" borderId="0" xfId="0" applyFont="1" applyAlignment="1">
      <alignment wrapText="1"/>
    </xf>
    <xf numFmtId="10" fontId="0" fillId="0" borderId="0" xfId="0" applyNumberFormat="1" applyFont="1"/>
    <xf numFmtId="0" fontId="26" fillId="0" borderId="30" xfId="37" applyFont="1" applyBorder="1" applyAlignment="1" applyProtection="1">
      <alignment vertical="top"/>
    </xf>
    <xf numFmtId="0" fontId="0" fillId="0" borderId="31" xfId="0" applyFont="1" applyBorder="1"/>
    <xf numFmtId="0" fontId="0" fillId="0" borderId="31" xfId="0" applyFont="1" applyBorder="1" applyProtection="1">
      <protection locked="0"/>
    </xf>
    <xf numFmtId="0" fontId="0" fillId="0" borderId="0" xfId="0" applyFont="1" applyAlignment="1">
      <alignment horizontal="center"/>
    </xf>
    <xf numFmtId="10" fontId="0" fillId="0" borderId="0" xfId="0" applyNumberFormat="1" applyBorder="1"/>
    <xf numFmtId="10" fontId="0" fillId="0" borderId="0" xfId="0" applyNumberFormat="1"/>
    <xf numFmtId="0" fontId="0" fillId="0" borderId="14" xfId="35" applyFont="1" applyFill="1" applyBorder="1" applyAlignment="1" applyProtection="1">
      <alignment vertical="top" wrapText="1"/>
    </xf>
    <xf numFmtId="0" fontId="0" fillId="0" borderId="28" xfId="35" applyFont="1" applyFill="1" applyBorder="1" applyAlignment="1" applyProtection="1">
      <alignment vertical="top" wrapText="1"/>
    </xf>
    <xf numFmtId="0" fontId="0" fillId="0" borderId="0" xfId="35" applyFont="1" applyFill="1" applyBorder="1" applyAlignment="1" applyProtection="1">
      <alignment horizontal="left" vertical="top" wrapText="1"/>
    </xf>
    <xf numFmtId="0" fontId="0" fillId="0" borderId="31" xfId="0" applyNumberFormat="1" applyFont="1" applyBorder="1" applyProtection="1">
      <protection locked="0"/>
    </xf>
    <xf numFmtId="0" fontId="0" fillId="0" borderId="10" xfId="35" applyFont="1" applyFill="1" applyBorder="1" applyAlignment="1" applyProtection="1">
      <alignment horizontal="left" vertical="top" wrapText="1"/>
    </xf>
    <xf numFmtId="0" fontId="0" fillId="0" borderId="10" xfId="35" applyFont="1" applyFill="1" applyBorder="1" applyAlignment="1" applyProtection="1">
      <alignment vertical="top" wrapText="1"/>
    </xf>
    <xf numFmtId="0" fontId="24" fillId="0" borderId="0" xfId="0" applyFont="1" applyBorder="1" applyAlignment="1">
      <alignment horizontal="center"/>
    </xf>
    <xf numFmtId="0" fontId="26" fillId="0" borderId="32" xfId="37" applyFont="1" applyBorder="1" applyAlignment="1" applyProtection="1">
      <alignment horizontal="left" vertical="top"/>
    </xf>
    <xf numFmtId="0" fontId="26" fillId="0" borderId="0" xfId="37" applyFont="1" applyBorder="1" applyAlignment="1" applyProtection="1">
      <alignment horizontal="center" vertical="top"/>
    </xf>
    <xf numFmtId="0" fontId="26" fillId="0" borderId="30" xfId="37" applyFont="1" applyBorder="1" applyAlignment="1" applyProtection="1">
      <alignment horizontal="center" vertical="top"/>
    </xf>
    <xf numFmtId="0" fontId="0" fillId="0" borderId="0" xfId="0" applyFont="1" applyFill="1" applyAlignment="1" applyProtection="1"/>
    <xf numFmtId="170" fontId="0" fillId="0" borderId="14" xfId="35" applyNumberFormat="1" applyFont="1" applyFill="1" applyBorder="1" applyAlignment="1" applyProtection="1">
      <alignment vertical="top" shrinkToFit="1"/>
    </xf>
    <xf numFmtId="0" fontId="0" fillId="0" borderId="29" xfId="35" applyFont="1" applyFill="1" applyBorder="1" applyAlignment="1" applyProtection="1">
      <alignment horizontal="center" vertical="top" wrapText="1"/>
    </xf>
    <xf numFmtId="0" fontId="0" fillId="0" borderId="14" xfId="35" applyFont="1" applyFill="1" applyBorder="1" applyAlignment="1" applyProtection="1">
      <alignment horizontal="center" vertical="top" wrapText="1"/>
    </xf>
    <xf numFmtId="10" fontId="0" fillId="0" borderId="0" xfId="0" applyNumberFormat="1" applyFont="1" applyAlignment="1" applyProtection="1">
      <alignment vertical="center" wrapText="1"/>
    </xf>
    <xf numFmtId="0" fontId="44" fillId="0" borderId="33" xfId="0" applyFont="1" applyBorder="1" applyAlignment="1" applyProtection="1">
      <alignment horizontal="center" vertical="center" wrapText="1"/>
    </xf>
    <xf numFmtId="0" fontId="45" fillId="0" borderId="0" xfId="0" applyFont="1"/>
    <xf numFmtId="0" fontId="24" fillId="0" borderId="14" xfId="0" applyFont="1" applyBorder="1" applyAlignment="1">
      <alignment horizontal="center"/>
    </xf>
    <xf numFmtId="1" fontId="46" fillId="0" borderId="0" xfId="0" applyNumberFormat="1" applyFont="1" applyAlignment="1">
      <alignment horizontal="center" vertical="center"/>
    </xf>
    <xf numFmtId="0" fontId="26" fillId="0" borderId="31" xfId="0" applyFont="1" applyBorder="1" applyAlignment="1" applyProtection="1">
      <alignment horizontal="center" vertical="center" wrapText="1"/>
    </xf>
    <xf numFmtId="0" fontId="47" fillId="0" borderId="31" xfId="0" applyFont="1" applyBorder="1" applyAlignment="1" applyProtection="1">
      <alignment horizontal="center" vertical="center" wrapText="1"/>
    </xf>
    <xf numFmtId="0" fontId="26" fillId="0" borderId="31" xfId="0" applyFont="1" applyBorder="1" applyAlignment="1" applyProtection="1">
      <alignment horizontal="center" vertical="center"/>
    </xf>
    <xf numFmtId="0" fontId="26" fillId="0" borderId="34" xfId="0" applyFont="1" applyFill="1" applyBorder="1" applyAlignment="1" applyProtection="1">
      <alignment horizontal="center" vertical="center" wrapText="1"/>
    </xf>
    <xf numFmtId="0" fontId="26" fillId="0" borderId="35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6" fillId="0" borderId="36" xfId="0" applyFont="1" applyBorder="1" applyAlignment="1" applyProtection="1">
      <alignment horizontal="center" vertical="center" wrapText="1"/>
    </xf>
    <xf numFmtId="0" fontId="41" fillId="0" borderId="0" xfId="0" applyFont="1" applyAlignment="1">
      <alignment horizontal="center"/>
    </xf>
    <xf numFmtId="0" fontId="10" fillId="17" borderId="3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7" xfId="0" applyNumberFormat="1" applyFont="1" applyFill="1" applyBorder="1" applyAlignment="1" applyProtection="1">
      <alignment horizontal="center" vertical="center" wrapText="1"/>
    </xf>
    <xf numFmtId="0" fontId="0" fillId="0" borderId="38" xfId="0" applyNumberFormat="1" applyFont="1" applyFill="1" applyBorder="1" applyAlignment="1">
      <alignment vertical="center" wrapText="1" shrinkToFit="1"/>
    </xf>
    <xf numFmtId="49" fontId="0" fillId="17" borderId="39" xfId="0" applyNumberFormat="1" applyFont="1" applyFill="1" applyBorder="1" applyAlignment="1" applyProtection="1">
      <alignment horizontal="center" vertical="center" wrapText="1"/>
      <protection locked="0"/>
    </xf>
    <xf numFmtId="49" fontId="0" fillId="6" borderId="39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39" xfId="0" applyNumberFormat="1" applyFont="1" applyFill="1" applyBorder="1" applyAlignment="1" applyProtection="1">
      <alignment horizontal="left" vertical="center" wrapText="1"/>
      <protection locked="0"/>
    </xf>
    <xf numFmtId="0" fontId="0" fillId="6" borderId="39" xfId="0" applyNumberFormat="1" applyFont="1" applyFill="1" applyBorder="1" applyAlignment="1" applyProtection="1">
      <alignment horizontal="center" vertical="center" wrapText="1"/>
      <protection locked="0"/>
    </xf>
    <xf numFmtId="171" fontId="0" fillId="0" borderId="39" xfId="50" applyNumberFormat="1" applyFont="1" applyFill="1" applyBorder="1" applyAlignment="1" applyProtection="1">
      <alignment vertical="center" shrinkToFit="1"/>
    </xf>
    <xf numFmtId="171" fontId="0" fillId="6" borderId="39" xfId="50" applyFont="1" applyFill="1" applyBorder="1" applyAlignment="1" applyProtection="1">
      <alignment vertical="center" wrapText="1"/>
      <protection locked="0"/>
    </xf>
    <xf numFmtId="10" fontId="0" fillId="17" borderId="39" xfId="39" applyNumberFormat="1" applyFont="1" applyFill="1" applyBorder="1" applyAlignment="1" applyProtection="1">
      <alignment horizontal="center" vertical="center" wrapText="1"/>
      <protection locked="0"/>
    </xf>
    <xf numFmtId="171" fontId="0" fillId="0" borderId="40" xfId="50" applyNumberFormat="1" applyFont="1" applyFill="1" applyBorder="1" applyAlignment="1" applyProtection="1">
      <alignment horizontal="center" vertical="center" shrinkToFit="1"/>
    </xf>
    <xf numFmtId="10" fontId="41" fillId="17" borderId="41" xfId="39" applyNumberFormat="1" applyFont="1" applyFill="1" applyBorder="1" applyAlignment="1" applyProtection="1">
      <alignment horizontal="center" vertical="center"/>
      <protection locked="0"/>
    </xf>
    <xf numFmtId="0" fontId="0" fillId="0" borderId="42" xfId="0" applyFont="1" applyBorder="1"/>
    <xf numFmtId="0" fontId="0" fillId="0" borderId="43" xfId="0" applyFont="1" applyBorder="1"/>
    <xf numFmtId="0" fontId="24" fillId="0" borderId="0" xfId="0" applyFont="1" applyFill="1"/>
    <xf numFmtId="0" fontId="0" fillId="0" borderId="0" xfId="0" applyFont="1" applyAlignment="1">
      <alignment horizontal="left"/>
    </xf>
    <xf numFmtId="0" fontId="26" fillId="18" borderId="31" xfId="0" applyNumberFormat="1" applyFont="1" applyFill="1" applyBorder="1" applyAlignment="1" applyProtection="1">
      <alignment horizontal="center" vertical="center"/>
    </xf>
    <xf numFmtId="49" fontId="26" fillId="18" borderId="44" xfId="0" applyNumberFormat="1" applyFont="1" applyFill="1" applyBorder="1" applyAlignment="1" applyProtection="1">
      <alignment horizontal="center" vertical="center"/>
    </xf>
    <xf numFmtId="171" fontId="26" fillId="18" borderId="44" xfId="50" applyNumberFormat="1" applyFont="1" applyFill="1" applyBorder="1" applyAlignment="1" applyProtection="1">
      <alignment horizontal="center" vertical="center"/>
    </xf>
    <xf numFmtId="10" fontId="26" fillId="18" borderId="44" xfId="39" applyNumberFormat="1" applyFont="1" applyFill="1" applyBorder="1" applyAlignment="1" applyProtection="1">
      <alignment horizontal="center" vertical="center"/>
    </xf>
    <xf numFmtId="171" fontId="26" fillId="18" borderId="45" xfId="50" applyNumberFormat="1" applyFont="1" applyFill="1" applyBorder="1" applyAlignment="1" applyProtection="1">
      <alignment horizontal="center" vertical="center" shrinkToFit="1"/>
    </xf>
    <xf numFmtId="171" fontId="23" fillId="18" borderId="45" xfId="50" applyNumberFormat="1" applyFont="1" applyFill="1" applyBorder="1" applyAlignment="1" applyProtection="1">
      <alignment horizontal="center" vertical="center" shrinkToFit="1"/>
    </xf>
    <xf numFmtId="0" fontId="24" fillId="0" borderId="0" xfId="0" applyFont="1"/>
    <xf numFmtId="0" fontId="0" fillId="4" borderId="13" xfId="0" applyFont="1" applyFill="1" applyBorder="1"/>
    <xf numFmtId="0" fontId="0" fillId="4" borderId="45" xfId="0" applyFont="1" applyFill="1" applyBorder="1"/>
    <xf numFmtId="0" fontId="32" fillId="0" borderId="0" xfId="0" applyFont="1"/>
    <xf numFmtId="0" fontId="32" fillId="0" borderId="32" xfId="0" applyFont="1" applyBorder="1" applyAlignment="1" applyProtection="1">
      <alignment horizontal="left" vertical="center"/>
    </xf>
    <xf numFmtId="0" fontId="0" fillId="0" borderId="12" xfId="0" applyFont="1" applyBorder="1"/>
    <xf numFmtId="0" fontId="32" fillId="0" borderId="0" xfId="0" applyFont="1" applyFill="1" applyBorder="1" applyAlignment="1" applyProtection="1">
      <alignment horizontal="left" wrapText="1"/>
      <protection locked="0"/>
    </xf>
    <xf numFmtId="0" fontId="19" fillId="0" borderId="0" xfId="0" applyFont="1" applyFill="1" applyBorder="1" applyAlignment="1" applyProtection="1">
      <alignment horizontal="left" wrapText="1"/>
    </xf>
    <xf numFmtId="167" fontId="0" fillId="0" borderId="29" xfId="0" applyNumberFormat="1" applyFont="1" applyBorder="1" applyAlignment="1" applyProtection="1">
      <alignment horizontal="left"/>
    </xf>
    <xf numFmtId="0" fontId="19" fillId="0" borderId="29" xfId="35" applyFont="1" applyBorder="1" applyAlignment="1" applyProtection="1">
      <alignment vertical="center"/>
    </xf>
    <xf numFmtId="0" fontId="0" fillId="0" borderId="0" xfId="0" applyFill="1"/>
    <xf numFmtId="0" fontId="26" fillId="0" borderId="10" xfId="0" applyFont="1" applyBorder="1"/>
    <xf numFmtId="0" fontId="0" fillId="0" borderId="10" xfId="0" applyFont="1" applyBorder="1"/>
    <xf numFmtId="0" fontId="25" fillId="0" borderId="0" xfId="0" applyFont="1" applyAlignment="1">
      <alignment horizontal="left" vertical="center" indent="10"/>
    </xf>
    <xf numFmtId="0" fontId="25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 indent="10"/>
    </xf>
    <xf numFmtId="0" fontId="39" fillId="0" borderId="0" xfId="0" applyFont="1" applyAlignment="1">
      <alignment horizontal="center" vertical="center"/>
    </xf>
    <xf numFmtId="0" fontId="26" fillId="0" borderId="32" xfId="37" applyFont="1" applyBorder="1" applyAlignment="1" applyProtection="1">
      <alignment vertical="top"/>
    </xf>
    <xf numFmtId="0" fontId="26" fillId="0" borderId="0" xfId="37" applyFont="1" applyBorder="1" applyAlignment="1" applyProtection="1">
      <alignment vertical="top"/>
    </xf>
    <xf numFmtId="0" fontId="26" fillId="0" borderId="12" xfId="37" applyFont="1" applyBorder="1" applyAlignment="1" applyProtection="1">
      <alignment vertical="top"/>
    </xf>
    <xf numFmtId="0" fontId="0" fillId="0" borderId="46" xfId="35" applyNumberFormat="1" applyFont="1" applyFill="1" applyBorder="1" applyAlignment="1" applyProtection="1">
      <alignment vertical="top"/>
    </xf>
    <xf numFmtId="0" fontId="0" fillId="0" borderId="29" xfId="35" applyFont="1" applyFill="1" applyBorder="1" applyAlignment="1" applyProtection="1">
      <alignment vertical="top" wrapText="1"/>
    </xf>
    <xf numFmtId="0" fontId="34" fillId="0" borderId="0" xfId="0" applyFont="1" applyAlignment="1">
      <alignment horizontal="center"/>
    </xf>
    <xf numFmtId="0" fontId="24" fillId="0" borderId="29" xfId="0" applyFont="1" applyBorder="1" applyAlignment="1">
      <alignment vertical="center" wrapText="1"/>
    </xf>
    <xf numFmtId="0" fontId="24" fillId="0" borderId="29" xfId="0" applyFont="1" applyBorder="1" applyAlignment="1">
      <alignment horizontal="right" vertical="center" wrapText="1"/>
    </xf>
    <xf numFmtId="0" fontId="49" fillId="0" borderId="0" xfId="0" applyFont="1"/>
    <xf numFmtId="1" fontId="46" fillId="0" borderId="0" xfId="0" applyNumberFormat="1" applyFont="1" applyAlignment="1">
      <alignment horizontal="left" textRotation="90" wrapText="1"/>
    </xf>
    <xf numFmtId="0" fontId="24" fillId="0" borderId="29" xfId="0" applyFont="1" applyBorder="1" applyAlignment="1">
      <alignment horizontal="center" vertical="center" wrapText="1"/>
    </xf>
    <xf numFmtId="0" fontId="0" fillId="6" borderId="47" xfId="0" applyFill="1" applyBorder="1" applyAlignment="1" applyProtection="1">
      <alignment horizontal="center" textRotation="90" wrapText="1"/>
      <protection locked="0"/>
    </xf>
    <xf numFmtId="0" fontId="0" fillId="6" borderId="48" xfId="0" applyFill="1" applyBorder="1" applyAlignment="1" applyProtection="1">
      <alignment horizontal="center" textRotation="90" wrapText="1"/>
      <protection locked="0"/>
    </xf>
    <xf numFmtId="0" fontId="0" fillId="0" borderId="36" xfId="0" applyFill="1" applyBorder="1" applyAlignment="1" applyProtection="1">
      <alignment horizontal="center" textRotation="90" wrapText="1"/>
    </xf>
    <xf numFmtId="0" fontId="0" fillId="0" borderId="47" xfId="0" applyFill="1" applyBorder="1" applyAlignment="1" applyProtection="1">
      <alignment horizontal="center" textRotation="90" wrapText="1"/>
    </xf>
    <xf numFmtId="0" fontId="0" fillId="0" borderId="48" xfId="0" applyFill="1" applyBorder="1" applyAlignment="1" applyProtection="1">
      <alignment horizontal="center" textRotation="90" wrapText="1"/>
    </xf>
    <xf numFmtId="0" fontId="26" fillId="0" borderId="0" xfId="0" applyFont="1" applyAlignment="1">
      <alignment horizontal="center"/>
    </xf>
    <xf numFmtId="0" fontId="26" fillId="0" borderId="49" xfId="0" applyFont="1" applyBorder="1" applyAlignment="1" applyProtection="1">
      <alignment horizontal="center" vertical="center" wrapText="1"/>
    </xf>
    <xf numFmtId="0" fontId="26" fillId="0" borderId="50" xfId="0" applyFont="1" applyBorder="1" applyAlignment="1" applyProtection="1">
      <alignment horizontal="center" vertical="center" wrapText="1"/>
    </xf>
    <xf numFmtId="0" fontId="26" fillId="0" borderId="51" xfId="0" applyFont="1" applyBorder="1" applyAlignment="1" applyProtection="1">
      <alignment horizontal="center" vertical="center" wrapText="1"/>
    </xf>
    <xf numFmtId="0" fontId="26" fillId="0" borderId="47" xfId="0" applyFont="1" applyBorder="1" applyAlignment="1" applyProtection="1">
      <alignment horizontal="center" vertical="center" wrapText="1"/>
    </xf>
    <xf numFmtId="0" fontId="26" fillId="0" borderId="48" xfId="0" applyFont="1" applyBorder="1" applyAlignment="1" applyProtection="1">
      <alignment horizontal="center" vertical="center" wrapText="1"/>
    </xf>
    <xf numFmtId="0" fontId="0" fillId="0" borderId="38" xfId="0" applyNumberFormat="1" applyFont="1" applyFill="1" applyBorder="1" applyAlignment="1" applyProtection="1">
      <alignment vertical="center" wrapText="1" shrinkToFit="1"/>
    </xf>
    <xf numFmtId="0" fontId="0" fillId="0" borderId="39" xfId="0" applyNumberFormat="1" applyFont="1" applyFill="1" applyBorder="1" applyAlignment="1" applyProtection="1">
      <alignment horizontal="left" vertical="center" wrapText="1"/>
    </xf>
    <xf numFmtId="0" fontId="0" fillId="0" borderId="39" xfId="0" applyNumberFormat="1" applyFont="1" applyFill="1" applyBorder="1" applyAlignment="1" applyProtection="1">
      <alignment horizontal="center" vertical="center" wrapText="1"/>
    </xf>
    <xf numFmtId="0" fontId="0" fillId="17" borderId="41" xfId="50" applyNumberFormat="1" applyFont="1" applyFill="1" applyBorder="1" applyAlignment="1" applyProtection="1">
      <alignment horizontal="left" vertical="center"/>
      <protection locked="0"/>
    </xf>
    <xf numFmtId="0" fontId="49" fillId="0" borderId="0" xfId="0" applyFont="1" applyAlignment="1">
      <alignment horizontal="center"/>
    </xf>
    <xf numFmtId="0" fontId="23" fillId="0" borderId="35" xfId="50" applyNumberFormat="1" applyFont="1" applyFill="1" applyBorder="1" applyAlignment="1" applyProtection="1">
      <alignment horizontal="center" vertical="center" wrapText="1" shrinkToFit="1"/>
    </xf>
    <xf numFmtId="0" fontId="23" fillId="0" borderId="41" xfId="50" applyNumberFormat="1" applyFont="1" applyFill="1" applyBorder="1" applyAlignment="1" applyProtection="1">
      <alignment vertical="center" wrapText="1" shrinkToFit="1"/>
    </xf>
    <xf numFmtId="171" fontId="0" fillId="6" borderId="38" xfId="50" applyFont="1" applyFill="1" applyBorder="1" applyAlignment="1" applyProtection="1">
      <alignment vertical="center" shrinkToFit="1"/>
      <protection locked="0"/>
    </xf>
    <xf numFmtId="171" fontId="0" fillId="6" borderId="39" xfId="50" applyFont="1" applyFill="1" applyBorder="1" applyAlignment="1" applyProtection="1">
      <alignment vertical="center" shrinkToFit="1"/>
      <protection locked="0"/>
    </xf>
    <xf numFmtId="171" fontId="0" fillId="6" borderId="40" xfId="50" applyFont="1" applyFill="1" applyBorder="1" applyAlignment="1" applyProtection="1">
      <alignment vertical="center" shrinkToFit="1"/>
      <protection locked="0"/>
    </xf>
    <xf numFmtId="1" fontId="0" fillId="0" borderId="52" xfId="50" applyNumberFormat="1" applyFont="1" applyFill="1" applyBorder="1" applyAlignment="1" applyProtection="1">
      <alignment horizontal="center" vertical="center" shrinkToFit="1"/>
    </xf>
    <xf numFmtId="1" fontId="0" fillId="0" borderId="53" xfId="50" applyNumberFormat="1" applyFont="1" applyFill="1" applyBorder="1" applyAlignment="1" applyProtection="1">
      <alignment horizontal="center" vertical="center" shrinkToFit="1"/>
    </xf>
    <xf numFmtId="0" fontId="26" fillId="18" borderId="31" xfId="0" applyNumberFormat="1" applyFont="1" applyFill="1" applyBorder="1" applyAlignment="1" applyProtection="1">
      <alignment horizontal="left" vertical="center"/>
    </xf>
    <xf numFmtId="0" fontId="26" fillId="14" borderId="31" xfId="0" applyNumberFormat="1" applyFont="1" applyFill="1" applyBorder="1" applyAlignment="1" applyProtection="1">
      <alignment horizontal="center" vertical="center"/>
    </xf>
    <xf numFmtId="0" fontId="26" fillId="18" borderId="31" xfId="0" applyNumberFormat="1" applyFont="1" applyFill="1" applyBorder="1" applyAlignment="1" applyProtection="1">
      <alignment horizontal="right" vertical="center"/>
    </xf>
    <xf numFmtId="4" fontId="26" fillId="18" borderId="54" xfId="0" applyNumberFormat="1" applyFont="1" applyFill="1" applyBorder="1" applyAlignment="1" applyProtection="1">
      <alignment horizontal="right" vertical="center" shrinkToFit="1"/>
    </xf>
    <xf numFmtId="4" fontId="26" fillId="18" borderId="55" xfId="0" applyNumberFormat="1" applyFont="1" applyFill="1" applyBorder="1" applyAlignment="1" applyProtection="1">
      <alignment horizontal="right" vertical="center" shrinkToFit="1"/>
    </xf>
    <xf numFmtId="4" fontId="26" fillId="18" borderId="56" xfId="0" applyNumberFormat="1" applyFont="1" applyFill="1" applyBorder="1" applyAlignment="1" applyProtection="1">
      <alignment horizontal="right" vertical="center" shrinkToFit="1"/>
    </xf>
    <xf numFmtId="4" fontId="26" fillId="18" borderId="36" xfId="0" applyNumberFormat="1" applyFont="1" applyFill="1" applyBorder="1" applyAlignment="1" applyProtection="1">
      <alignment horizontal="right" vertical="center" shrinkToFit="1"/>
    </xf>
    <xf numFmtId="0" fontId="26" fillId="18" borderId="36" xfId="0" applyNumberFormat="1" applyFont="1" applyFill="1" applyBorder="1" applyAlignment="1" applyProtection="1">
      <alignment horizontal="right" vertical="center" shrinkToFit="1"/>
    </xf>
    <xf numFmtId="0" fontId="0" fillId="19" borderId="13" xfId="0" applyFill="1" applyBorder="1"/>
    <xf numFmtId="0" fontId="0" fillId="4" borderId="44" xfId="0" applyFont="1" applyFill="1" applyBorder="1"/>
    <xf numFmtId="167" fontId="0" fillId="0" borderId="29" xfId="0" applyNumberFormat="1" applyFont="1" applyBorder="1" applyAlignment="1" applyProtection="1"/>
    <xf numFmtId="0" fontId="0" fillId="0" borderId="29" xfId="0" applyBorder="1"/>
    <xf numFmtId="0" fontId="0" fillId="0" borderId="0" xfId="35" applyFont="1" applyBorder="1" applyAlignment="1" applyProtection="1">
      <alignment vertical="center"/>
    </xf>
    <xf numFmtId="0" fontId="14" fillId="0" borderId="31" xfId="0" applyFont="1" applyBorder="1" applyProtection="1"/>
    <xf numFmtId="0" fontId="14" fillId="0" borderId="31" xfId="0" applyFont="1" applyBorder="1" applyAlignment="1" applyProtection="1">
      <alignment horizontal="center"/>
    </xf>
    <xf numFmtId="0" fontId="48" fillId="0" borderId="31" xfId="0" applyFont="1" applyBorder="1" applyAlignment="1">
      <alignment horizontal="center" vertical="center"/>
    </xf>
    <xf numFmtId="171" fontId="58" fillId="0" borderId="31" xfId="50" applyFill="1" applyBorder="1" applyAlignment="1" applyProtection="1"/>
    <xf numFmtId="0" fontId="48" fillId="19" borderId="31" xfId="0" applyFont="1" applyFill="1" applyBorder="1" applyAlignment="1">
      <alignment horizontal="center" vertical="center"/>
    </xf>
    <xf numFmtId="171" fontId="58" fillId="19" borderId="31" xfId="50" applyFill="1" applyBorder="1" applyAlignment="1" applyProtection="1"/>
    <xf numFmtId="0" fontId="0" fillId="19" borderId="44" xfId="0" applyFill="1" applyBorder="1"/>
    <xf numFmtId="0" fontId="0" fillId="19" borderId="45" xfId="0" applyFill="1" applyBorder="1"/>
    <xf numFmtId="0" fontId="48" fillId="0" borderId="0" xfId="36" applyFont="1" applyAlignment="1">
      <alignment horizontal="center"/>
    </xf>
    <xf numFmtId="0" fontId="48" fillId="0" borderId="0" xfId="36" applyFont="1"/>
    <xf numFmtId="165" fontId="0" fillId="0" borderId="0" xfId="51" applyFont="1" applyFill="1" applyBorder="1" applyAlignment="1" applyProtection="1">
      <alignment horizontal="center"/>
    </xf>
    <xf numFmtId="10" fontId="49" fillId="0" borderId="57" xfId="40" applyNumberFormat="1" applyFont="1" applyFill="1" applyBorder="1" applyAlignment="1" applyProtection="1">
      <alignment horizontal="center"/>
    </xf>
    <xf numFmtId="10" fontId="48" fillId="0" borderId="33" xfId="36" applyNumberFormat="1" applyFont="1" applyBorder="1" applyAlignment="1">
      <alignment horizontal="center"/>
    </xf>
    <xf numFmtId="172" fontId="48" fillId="0" borderId="58" xfId="36" applyNumberFormat="1" applyFont="1" applyBorder="1" applyAlignment="1">
      <alignment horizontal="left"/>
    </xf>
    <xf numFmtId="10" fontId="48" fillId="0" borderId="59" xfId="36" applyNumberFormat="1" applyFont="1" applyBorder="1" applyAlignment="1">
      <alignment horizontal="left"/>
    </xf>
    <xf numFmtId="1" fontId="48" fillId="0" borderId="59" xfId="36" applyNumberFormat="1" applyFont="1" applyBorder="1" applyAlignment="1">
      <alignment horizontal="center"/>
    </xf>
    <xf numFmtId="0" fontId="48" fillId="0" borderId="59" xfId="36" applyFont="1" applyBorder="1" applyAlignment="1">
      <alignment horizontal="center"/>
    </xf>
    <xf numFmtId="173" fontId="58" fillId="0" borderId="60" xfId="50" applyNumberFormat="1" applyFill="1" applyBorder="1" applyAlignment="1" applyProtection="1">
      <alignment horizontal="right" shrinkToFit="1"/>
    </xf>
    <xf numFmtId="173" fontId="0" fillId="0" borderId="33" xfId="50" applyNumberFormat="1" applyFont="1" applyFill="1" applyBorder="1" applyAlignment="1" applyProtection="1">
      <alignment horizontal="center" vertical="center"/>
    </xf>
    <xf numFmtId="10" fontId="49" fillId="0" borderId="61" xfId="40" applyNumberFormat="1" applyFont="1" applyFill="1" applyBorder="1" applyAlignment="1" applyProtection="1">
      <alignment horizontal="center"/>
    </xf>
    <xf numFmtId="10" fontId="49" fillId="0" borderId="62" xfId="40" applyNumberFormat="1" applyFont="1" applyFill="1" applyBorder="1" applyAlignment="1" applyProtection="1">
      <alignment horizontal="center"/>
    </xf>
    <xf numFmtId="0" fontId="48" fillId="0" borderId="30" xfId="36" applyFont="1" applyBorder="1" applyAlignment="1">
      <alignment horizontal="center"/>
    </xf>
    <xf numFmtId="0" fontId="48" fillId="0" borderId="63" xfId="36" applyFont="1" applyBorder="1"/>
    <xf numFmtId="0" fontId="34" fillId="0" borderId="63" xfId="36" applyFont="1" applyBorder="1" applyAlignment="1"/>
    <xf numFmtId="0" fontId="48" fillId="0" borderId="63" xfId="36" applyFont="1" applyBorder="1" applyAlignment="1">
      <alignment horizontal="center"/>
    </xf>
    <xf numFmtId="165" fontId="0" fillId="0" borderId="63" xfId="51" applyFont="1" applyFill="1" applyBorder="1" applyAlignment="1" applyProtection="1">
      <alignment horizontal="right" shrinkToFit="1"/>
    </xf>
    <xf numFmtId="173" fontId="0" fillId="0" borderId="30" xfId="50" applyNumberFormat="1" applyFont="1" applyFill="1" applyBorder="1" applyAlignment="1" applyProtection="1">
      <alignment horizontal="center" vertical="center"/>
    </xf>
    <xf numFmtId="165" fontId="50" fillId="0" borderId="64" xfId="51" applyFont="1" applyFill="1" applyBorder="1" applyAlignment="1" applyProtection="1">
      <alignment horizontal="center"/>
    </xf>
    <xf numFmtId="0" fontId="48" fillId="0" borderId="14" xfId="36" applyFont="1" applyBorder="1" applyAlignment="1">
      <alignment horizontal="center"/>
    </xf>
    <xf numFmtId="165" fontId="50" fillId="0" borderId="0" xfId="51" applyFont="1" applyFill="1" applyBorder="1" applyAlignment="1" applyProtection="1">
      <alignment horizontal="center"/>
    </xf>
    <xf numFmtId="165" fontId="0" fillId="0" borderId="14" xfId="51" applyFont="1" applyFill="1" applyBorder="1" applyAlignment="1" applyProtection="1">
      <alignment horizontal="center"/>
    </xf>
    <xf numFmtId="165" fontId="50" fillId="0" borderId="55" xfId="51" applyFont="1" applyFill="1" applyBorder="1" applyAlignment="1" applyProtection="1">
      <alignment horizontal="center"/>
    </xf>
    <xf numFmtId="165" fontId="50" fillId="0" borderId="56" xfId="51" applyFont="1" applyFill="1" applyBorder="1" applyAlignment="1" applyProtection="1">
      <alignment horizontal="center"/>
    </xf>
    <xf numFmtId="165" fontId="25" fillId="0" borderId="0" xfId="51" applyFont="1" applyFill="1" applyBorder="1" applyAlignment="1" applyProtection="1">
      <alignment horizontal="left"/>
    </xf>
    <xf numFmtId="0" fontId="48" fillId="0" borderId="0" xfId="36" applyFont="1" applyBorder="1"/>
    <xf numFmtId="0" fontId="48" fillId="0" borderId="0" xfId="36" applyFont="1" applyBorder="1" applyAlignment="1">
      <alignment horizontal="center"/>
    </xf>
    <xf numFmtId="0" fontId="41" fillId="0" borderId="0" xfId="0" applyFont="1" applyAlignment="1">
      <alignment horizontal="center" textRotation="90"/>
    </xf>
    <xf numFmtId="0" fontId="51" fillId="0" borderId="32" xfId="36" applyFont="1" applyBorder="1"/>
    <xf numFmtId="0" fontId="48" fillId="0" borderId="12" xfId="36" applyFont="1" applyBorder="1"/>
    <xf numFmtId="0" fontId="26" fillId="0" borderId="32" xfId="51" applyNumberFormat="1" applyFont="1" applyFill="1" applyBorder="1" applyAlignment="1" applyProtection="1">
      <alignment horizontal="left"/>
    </xf>
    <xf numFmtId="165" fontId="26" fillId="0" borderId="32" xfId="51" applyFont="1" applyFill="1" applyBorder="1" applyAlignment="1" applyProtection="1">
      <alignment horizontal="left"/>
    </xf>
    <xf numFmtId="165" fontId="0" fillId="0" borderId="12" xfId="51" applyFont="1" applyFill="1" applyBorder="1" applyAlignment="1" applyProtection="1">
      <alignment horizontal="center"/>
    </xf>
    <xf numFmtId="0" fontId="51" fillId="0" borderId="30" xfId="36" applyFont="1" applyBorder="1" applyAlignment="1">
      <alignment horizontal="center"/>
    </xf>
    <xf numFmtId="0" fontId="48" fillId="0" borderId="46" xfId="36" applyFont="1" applyBorder="1" applyAlignment="1"/>
    <xf numFmtId="0" fontId="48" fillId="0" borderId="14" xfId="36" applyNumberFormat="1" applyFont="1" applyBorder="1" applyAlignment="1">
      <alignment horizontal="center"/>
    </xf>
    <xf numFmtId="0" fontId="48" fillId="17" borderId="31" xfId="36" applyFont="1" applyFill="1" applyBorder="1" applyAlignment="1" applyProtection="1">
      <alignment horizontal="center"/>
      <protection locked="0"/>
    </xf>
    <xf numFmtId="0" fontId="48" fillId="0" borderId="29" xfId="36" applyFont="1" applyBorder="1" applyAlignment="1"/>
    <xf numFmtId="0" fontId="51" fillId="0" borderId="49" xfId="36" applyFont="1" applyBorder="1" applyAlignment="1">
      <alignment horizontal="center"/>
    </xf>
    <xf numFmtId="0" fontId="51" fillId="0" borderId="10" xfId="36" applyFont="1" applyBorder="1" applyAlignment="1">
      <alignment horizontal="left" vertical="center" wrapText="1"/>
    </xf>
    <xf numFmtId="0" fontId="48" fillId="0" borderId="10" xfId="36" applyFont="1" applyBorder="1" applyAlignment="1">
      <alignment horizontal="center" vertical="center"/>
    </xf>
    <xf numFmtId="0" fontId="51" fillId="0" borderId="50" xfId="36" applyFont="1" applyFill="1" applyBorder="1" applyAlignment="1" applyProtection="1">
      <alignment horizontal="center"/>
      <protection locked="0"/>
    </xf>
    <xf numFmtId="0" fontId="51" fillId="0" borderId="51" xfId="36" applyFont="1" applyBorder="1" applyAlignment="1">
      <alignment horizontal="center"/>
    </xf>
    <xf numFmtId="0" fontId="48" fillId="0" borderId="0" xfId="36" applyFont="1" applyAlignment="1">
      <alignment horizontal="center" wrapText="1"/>
    </xf>
    <xf numFmtId="174" fontId="51" fillId="0" borderId="54" xfId="36" applyNumberFormat="1" applyFont="1" applyBorder="1" applyAlignment="1">
      <alignment horizontal="center"/>
    </xf>
    <xf numFmtId="0" fontId="51" fillId="0" borderId="29" xfId="36" applyFont="1" applyBorder="1" applyAlignment="1">
      <alignment horizontal="left" vertical="center" wrapText="1"/>
    </xf>
    <xf numFmtId="0" fontId="48" fillId="0" borderId="29" xfId="36" applyFont="1" applyBorder="1" applyAlignment="1">
      <alignment horizontal="center" vertical="center"/>
    </xf>
    <xf numFmtId="0" fontId="48" fillId="0" borderId="29" xfId="36" applyFont="1" applyBorder="1" applyAlignment="1">
      <alignment horizontal="center" vertical="center" wrapText="1"/>
    </xf>
    <xf numFmtId="174" fontId="51" fillId="0" borderId="55" xfId="36" applyNumberFormat="1" applyFont="1" applyFill="1" applyBorder="1" applyAlignment="1" applyProtection="1">
      <alignment horizontal="center"/>
      <protection locked="0"/>
    </xf>
    <xf numFmtId="174" fontId="51" fillId="0" borderId="56" xfId="36" applyNumberFormat="1" applyFont="1" applyBorder="1" applyAlignment="1">
      <alignment horizontal="center"/>
    </xf>
    <xf numFmtId="10" fontId="0" fillId="0" borderId="53" xfId="40" applyNumberFormat="1" applyFont="1" applyFill="1" applyBorder="1" applyAlignment="1" applyProtection="1"/>
    <xf numFmtId="0" fontId="48" fillId="8" borderId="33" xfId="36" applyFont="1" applyFill="1" applyBorder="1"/>
    <xf numFmtId="165" fontId="26" fillId="0" borderId="0" xfId="51" applyFont="1" applyFill="1" applyBorder="1" applyAlignment="1" applyProtection="1">
      <alignment horizontal="center" shrinkToFit="1"/>
    </xf>
    <xf numFmtId="165" fontId="0" fillId="8" borderId="65" xfId="51" applyFont="1" applyFill="1" applyBorder="1" applyAlignment="1" applyProtection="1">
      <alignment horizontal="center"/>
    </xf>
    <xf numFmtId="165" fontId="0" fillId="8" borderId="66" xfId="51" applyFont="1" applyFill="1" applyBorder="1" applyAlignment="1" applyProtection="1">
      <alignment horizontal="right"/>
    </xf>
    <xf numFmtId="10" fontId="0" fillId="8" borderId="52" xfId="40" applyNumberFormat="1" applyFont="1" applyFill="1" applyBorder="1" applyAlignment="1" applyProtection="1"/>
    <xf numFmtId="10" fontId="0" fillId="8" borderId="53" xfId="40" applyNumberFormat="1" applyFont="1" applyFill="1" applyBorder="1" applyAlignment="1" applyProtection="1"/>
    <xf numFmtId="10" fontId="0" fillId="8" borderId="67" xfId="40" applyNumberFormat="1" applyFont="1" applyFill="1" applyBorder="1" applyAlignment="1" applyProtection="1"/>
    <xf numFmtId="171" fontId="58" fillId="0" borderId="39" xfId="50" applyFill="1" applyBorder="1" applyAlignment="1" applyProtection="1">
      <alignment shrinkToFit="1"/>
    </xf>
    <xf numFmtId="0" fontId="48" fillId="8" borderId="30" xfId="36" applyFont="1" applyFill="1" applyBorder="1"/>
    <xf numFmtId="165" fontId="0" fillId="0" borderId="37" xfId="51" applyFont="1" applyFill="1" applyBorder="1" applyAlignment="1" applyProtection="1">
      <alignment horizontal="center"/>
    </xf>
    <xf numFmtId="165" fontId="0" fillId="0" borderId="68" xfId="51" applyFont="1" applyFill="1" applyBorder="1" applyAlignment="1" applyProtection="1">
      <alignment horizontal="right"/>
    </xf>
    <xf numFmtId="171" fontId="58" fillId="0" borderId="38" xfId="50" applyFill="1" applyBorder="1" applyAlignment="1" applyProtection="1">
      <alignment shrinkToFit="1"/>
    </xf>
    <xf numFmtId="171" fontId="58" fillId="0" borderId="40" xfId="50" applyFill="1" applyBorder="1" applyAlignment="1" applyProtection="1">
      <alignment shrinkToFit="1"/>
    </xf>
    <xf numFmtId="0" fontId="51" fillId="0" borderId="0" xfId="36" applyFont="1" applyAlignment="1">
      <alignment horizontal="left"/>
    </xf>
    <xf numFmtId="0" fontId="48" fillId="8" borderId="30" xfId="36" applyFont="1" applyFill="1" applyBorder="1" applyAlignment="1">
      <alignment horizontal="center"/>
    </xf>
    <xf numFmtId="165" fontId="0" fillId="8" borderId="37" xfId="51" applyFont="1" applyFill="1" applyBorder="1" applyAlignment="1" applyProtection="1">
      <alignment horizontal="center"/>
    </xf>
    <xf numFmtId="165" fontId="0" fillId="8" borderId="68" xfId="51" applyFont="1" applyFill="1" applyBorder="1" applyAlignment="1" applyProtection="1">
      <alignment horizontal="right"/>
    </xf>
    <xf numFmtId="171" fontId="58" fillId="8" borderId="38" xfId="50" applyFill="1" applyBorder="1" applyAlignment="1" applyProtection="1">
      <alignment shrinkToFit="1"/>
    </xf>
    <xf numFmtId="171" fontId="58" fillId="8" borderId="39" xfId="50" applyFill="1" applyBorder="1" applyAlignment="1" applyProtection="1">
      <alignment shrinkToFit="1"/>
    </xf>
    <xf numFmtId="171" fontId="58" fillId="8" borderId="40" xfId="50" applyFill="1" applyBorder="1" applyAlignment="1" applyProtection="1">
      <alignment shrinkToFit="1"/>
    </xf>
    <xf numFmtId="171" fontId="58" fillId="0" borderId="42" xfId="50" applyFill="1" applyBorder="1" applyAlignment="1" applyProtection="1">
      <alignment shrinkToFit="1"/>
    </xf>
    <xf numFmtId="165" fontId="0" fillId="0" borderId="58" xfId="51" applyFont="1" applyFill="1" applyBorder="1" applyAlignment="1" applyProtection="1">
      <alignment horizontal="center"/>
    </xf>
    <xf numFmtId="165" fontId="0" fillId="0" borderId="60" xfId="51" applyFont="1" applyFill="1" applyBorder="1" applyAlignment="1" applyProtection="1">
      <alignment horizontal="right"/>
    </xf>
    <xf numFmtId="171" fontId="58" fillId="0" borderId="69" xfId="50" applyFill="1" applyBorder="1" applyAlignment="1" applyProtection="1">
      <alignment shrinkToFit="1"/>
    </xf>
    <xf numFmtId="171" fontId="58" fillId="0" borderId="43" xfId="50" applyFill="1" applyBorder="1" applyAlignment="1" applyProtection="1">
      <alignment shrinkToFit="1"/>
    </xf>
    <xf numFmtId="165" fontId="26" fillId="0" borderId="70" xfId="51" applyFont="1" applyFill="1" applyBorder="1" applyAlignment="1" applyProtection="1">
      <alignment shrinkToFit="1"/>
    </xf>
    <xf numFmtId="0" fontId="48" fillId="8" borderId="14" xfId="36" applyFont="1" applyFill="1" applyBorder="1"/>
    <xf numFmtId="165" fontId="26" fillId="8" borderId="71" xfId="51" applyFont="1" applyFill="1" applyBorder="1" applyAlignment="1" applyProtection="1">
      <alignment horizontal="center"/>
    </xf>
    <xf numFmtId="165" fontId="26" fillId="8" borderId="72" xfId="51" applyFont="1" applyFill="1" applyBorder="1" applyAlignment="1" applyProtection="1">
      <alignment horizontal="right"/>
    </xf>
    <xf numFmtId="165" fontId="26" fillId="8" borderId="73" xfId="51" applyFont="1" applyFill="1" applyBorder="1" applyAlignment="1" applyProtection="1">
      <alignment shrinkToFit="1"/>
    </xf>
    <xf numFmtId="165" fontId="26" fillId="8" borderId="70" xfId="51" applyFont="1" applyFill="1" applyBorder="1" applyAlignment="1" applyProtection="1">
      <alignment shrinkToFit="1"/>
    </xf>
    <xf numFmtId="165" fontId="26" fillId="8" borderId="74" xfId="51" applyFont="1" applyFill="1" applyBorder="1" applyAlignment="1" applyProtection="1">
      <alignment shrinkToFit="1"/>
    </xf>
    <xf numFmtId="0" fontId="0" fillId="0" borderId="29" xfId="0" applyFont="1" applyBorder="1"/>
    <xf numFmtId="0" fontId="48" fillId="0" borderId="29" xfId="36" applyFont="1" applyBorder="1" applyAlignment="1">
      <alignment horizontal="center"/>
    </xf>
    <xf numFmtId="165" fontId="0" fillId="0" borderId="29" xfId="51" applyFont="1" applyFill="1" applyBorder="1" applyAlignment="1" applyProtection="1">
      <alignment horizontal="center"/>
    </xf>
    <xf numFmtId="0" fontId="26" fillId="0" borderId="0" xfId="0" applyFont="1" applyBorder="1"/>
    <xf numFmtId="0" fontId="0" fillId="0" borderId="39" xfId="0" applyBorder="1" applyAlignment="1">
      <alignment horizontal="center"/>
    </xf>
    <xf numFmtId="0" fontId="0" fillId="0" borderId="39" xfId="0" applyBorder="1" applyAlignment="1">
      <alignment horizontal="left"/>
    </xf>
    <xf numFmtId="1" fontId="0" fillId="6" borderId="39" xfId="0" applyNumberFormat="1" applyFill="1" applyBorder="1" applyAlignment="1" applyProtection="1">
      <alignment horizontal="center"/>
      <protection locked="0"/>
    </xf>
    <xf numFmtId="0" fontId="22" fillId="0" borderId="0" xfId="0" applyFont="1"/>
    <xf numFmtId="0" fontId="0" fillId="0" borderId="0" xfId="0" applyFont="1" applyAlignment="1">
      <alignment textRotation="90"/>
    </xf>
    <xf numFmtId="4" fontId="0" fillId="0" borderId="0" xfId="0" applyNumberFormat="1"/>
    <xf numFmtId="175" fontId="53" fillId="8" borderId="1" xfId="0" applyNumberFormat="1" applyFont="1" applyFill="1" applyBorder="1" applyAlignment="1">
      <alignment horizontal="center" textRotation="90" wrapText="1"/>
    </xf>
    <xf numFmtId="0" fontId="26" fillId="8" borderId="1" xfId="0" applyFont="1" applyFill="1" applyBorder="1" applyAlignment="1">
      <alignment horizontal="center"/>
    </xf>
    <xf numFmtId="0" fontId="26" fillId="8" borderId="75" xfId="0" applyFont="1" applyFill="1" applyBorder="1" applyAlignment="1"/>
    <xf numFmtId="0" fontId="26" fillId="8" borderId="76" xfId="0" applyFont="1" applyFill="1" applyBorder="1" applyAlignment="1"/>
    <xf numFmtId="0" fontId="26" fillId="8" borderId="77" xfId="0" applyFont="1" applyFill="1" applyBorder="1" applyAlignment="1"/>
    <xf numFmtId="0" fontId="0" fillId="19" borderId="39" xfId="0" applyFill="1" applyBorder="1" applyAlignment="1">
      <alignment horizontal="center"/>
    </xf>
    <xf numFmtId="0" fontId="0" fillId="19" borderId="39" xfId="0" applyFont="1" applyFill="1" applyBorder="1"/>
    <xf numFmtId="0" fontId="0" fillId="8" borderId="78" xfId="0" applyFill="1" applyBorder="1"/>
    <xf numFmtId="0" fontId="0" fillId="8" borderId="79" xfId="0" applyFont="1" applyFill="1" applyBorder="1"/>
    <xf numFmtId="0" fontId="0" fillId="8" borderId="80" xfId="0" applyFill="1" applyBorder="1"/>
    <xf numFmtId="0" fontId="48" fillId="20" borderId="31" xfId="36" applyFont="1" applyFill="1" applyBorder="1" applyAlignment="1">
      <alignment horizontal="center"/>
    </xf>
    <xf numFmtId="0" fontId="51" fillId="0" borderId="12" xfId="36" applyFont="1" applyBorder="1"/>
    <xf numFmtId="0" fontId="48" fillId="0" borderId="12" xfId="36" applyFont="1" applyBorder="1" applyAlignment="1">
      <alignment horizontal="center"/>
    </xf>
    <xf numFmtId="0" fontId="0" fillId="0" borderId="32" xfId="0" applyBorder="1"/>
    <xf numFmtId="0" fontId="54" fillId="0" borderId="0" xfId="0" applyFont="1"/>
    <xf numFmtId="0" fontId="26" fillId="0" borderId="0" xfId="0" applyFont="1" applyAlignment="1">
      <alignment horizontal="right"/>
    </xf>
    <xf numFmtId="0" fontId="25" fillId="0" borderId="32" xfId="0" applyFont="1" applyBorder="1" applyAlignment="1"/>
    <xf numFmtId="0" fontId="0" fillId="4" borderId="13" xfId="0" applyFill="1" applyBorder="1"/>
    <xf numFmtId="0" fontId="26" fillId="8" borderId="31" xfId="0" applyFont="1" applyFill="1" applyBorder="1" applyAlignment="1">
      <alignment horizontal="center"/>
    </xf>
    <xf numFmtId="0" fontId="26" fillId="0" borderId="33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0" fillId="0" borderId="0" xfId="35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/>
    </xf>
    <xf numFmtId="0" fontId="25" fillId="0" borderId="0" xfId="0" applyFont="1" applyAlignment="1">
      <alignment horizontal="left" vertical="center" indent="2"/>
    </xf>
    <xf numFmtId="0" fontId="0" fillId="0" borderId="31" xfId="0" applyFont="1" applyFill="1" applyBorder="1" applyAlignment="1" applyProtection="1"/>
    <xf numFmtId="10" fontId="0" fillId="0" borderId="31" xfId="0" applyNumberFormat="1" applyFont="1" applyBorder="1" applyAlignment="1" applyProtection="1">
      <alignment horizontal="center" vertical="center" wrapText="1"/>
    </xf>
    <xf numFmtId="0" fontId="26" fillId="0" borderId="30" xfId="0" applyFont="1" applyBorder="1"/>
    <xf numFmtId="0" fontId="0" fillId="0" borderId="14" xfId="0" applyBorder="1"/>
    <xf numFmtId="4" fontId="0" fillId="0" borderId="14" xfId="35" applyNumberFormat="1" applyFont="1" applyFill="1" applyBorder="1" applyAlignment="1" applyProtection="1">
      <alignment vertical="top" wrapText="1"/>
    </xf>
    <xf numFmtId="0" fontId="0" fillId="0" borderId="0" xfId="35" applyFont="1" applyFill="1" applyBorder="1" applyAlignment="1" applyProtection="1">
      <alignment vertical="top" wrapText="1"/>
    </xf>
    <xf numFmtId="0" fontId="23" fillId="0" borderId="33" xfId="0" applyFont="1" applyBorder="1" applyAlignment="1">
      <alignment horizontal="center"/>
    </xf>
    <xf numFmtId="178" fontId="0" fillId="0" borderId="46" xfId="0" applyNumberFormat="1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9" fontId="26" fillId="0" borderId="38" xfId="0" applyNumberFormat="1" applyFont="1" applyBorder="1" applyAlignment="1">
      <alignment horizontal="center" vertical="center"/>
    </xf>
    <xf numFmtId="49" fontId="0" fillId="17" borderId="39" xfId="0" applyNumberFormat="1" applyFill="1" applyBorder="1" applyAlignment="1" applyProtection="1">
      <alignment horizontal="center" vertical="center" wrapText="1"/>
      <protection locked="0"/>
    </xf>
    <xf numFmtId="0" fontId="0" fillId="0" borderId="39" xfId="0" applyBorder="1" applyAlignment="1">
      <alignment horizontal="center" vertical="center"/>
    </xf>
    <xf numFmtId="178" fontId="0" fillId="0" borderId="37" xfId="0" applyNumberFormat="1" applyBorder="1" applyAlignment="1">
      <alignment horizontal="center" vertical="center"/>
    </xf>
    <xf numFmtId="178" fontId="0" fillId="0" borderId="78" xfId="0" applyNumberFormat="1" applyBorder="1" applyAlignment="1">
      <alignment horizontal="center" vertical="center"/>
    </xf>
    <xf numFmtId="178" fontId="0" fillId="0" borderId="68" xfId="0" applyNumberFormat="1" applyBorder="1" applyAlignment="1">
      <alignment horizontal="center" vertical="center"/>
    </xf>
    <xf numFmtId="178" fontId="0" fillId="0" borderId="41" xfId="0" applyNumberFormat="1" applyBorder="1" applyAlignment="1">
      <alignment horizontal="center" vertical="center"/>
    </xf>
    <xf numFmtId="49" fontId="0" fillId="6" borderId="69" xfId="0" applyNumberFormat="1" applyFill="1" applyBorder="1" applyAlignment="1" applyProtection="1">
      <alignment horizontal="center"/>
      <protection locked="0"/>
    </xf>
    <xf numFmtId="178" fontId="0" fillId="6" borderId="69" xfId="0" applyNumberFormat="1" applyFill="1" applyBorder="1" applyAlignment="1" applyProtection="1">
      <alignment horizontal="center" vertical="center"/>
      <protection locked="0"/>
    </xf>
    <xf numFmtId="178" fontId="0" fillId="6" borderId="42" xfId="0" applyNumberFormat="1" applyFill="1" applyBorder="1" applyAlignment="1" applyProtection="1">
      <alignment horizontal="center" vertical="center"/>
      <protection locked="0"/>
    </xf>
    <xf numFmtId="178" fontId="0" fillId="6" borderId="43" xfId="0" applyNumberFormat="1" applyFill="1" applyBorder="1" applyAlignment="1" applyProtection="1">
      <alignment horizontal="center" vertical="center"/>
      <protection locked="0"/>
    </xf>
    <xf numFmtId="0" fontId="0" fillId="0" borderId="0" xfId="0" applyNumberFormat="1"/>
    <xf numFmtId="4" fontId="0" fillId="0" borderId="0" xfId="32" applyNumberFormat="1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26" fillId="0" borderId="0" xfId="0" applyFont="1" applyAlignment="1">
      <alignment wrapText="1"/>
    </xf>
    <xf numFmtId="0" fontId="26" fillId="0" borderId="13" xfId="0" applyFont="1" applyBorder="1" applyAlignment="1" applyProtection="1">
      <alignment horizontal="center" vertical="center" wrapText="1"/>
    </xf>
    <xf numFmtId="0" fontId="26" fillId="0" borderId="44" xfId="0" applyFont="1" applyBorder="1" applyAlignment="1" applyProtection="1">
      <alignment horizontal="center" vertical="center" wrapText="1"/>
    </xf>
    <xf numFmtId="0" fontId="26" fillId="0" borderId="45" xfId="0" applyFont="1" applyBorder="1" applyAlignment="1" applyProtection="1">
      <alignment horizontal="center" vertical="center" wrapText="1"/>
    </xf>
    <xf numFmtId="0" fontId="26" fillId="0" borderId="33" xfId="0" applyFont="1" applyBorder="1" applyAlignment="1" applyProtection="1">
      <alignment horizontal="center" vertical="center" wrapText="1"/>
    </xf>
    <xf numFmtId="0" fontId="26" fillId="0" borderId="11" xfId="0" applyFont="1" applyBorder="1" applyAlignment="1" applyProtection="1">
      <alignment horizontal="center" vertical="center" wrapText="1"/>
    </xf>
    <xf numFmtId="0" fontId="0" fillId="8" borderId="81" xfId="0" applyFill="1" applyBorder="1"/>
    <xf numFmtId="0" fontId="0" fillId="8" borderId="10" xfId="0" applyFill="1" applyBorder="1"/>
    <xf numFmtId="178" fontId="19" fillId="8" borderId="81" xfId="0" applyNumberFormat="1" applyFont="1" applyFill="1" applyBorder="1" applyAlignment="1">
      <alignment horizontal="center" vertical="center"/>
    </xf>
    <xf numFmtId="178" fontId="19" fillId="8" borderId="10" xfId="0" applyNumberFormat="1" applyFont="1" applyFill="1" applyBorder="1" applyAlignment="1">
      <alignment horizontal="center" vertical="center"/>
    </xf>
    <xf numFmtId="178" fontId="19" fillId="8" borderId="11" xfId="0" applyNumberFormat="1" applyFont="1" applyFill="1" applyBorder="1" applyAlignment="1">
      <alignment horizontal="center" vertical="center"/>
    </xf>
    <xf numFmtId="178" fontId="19" fillId="8" borderId="33" xfId="0" applyNumberFormat="1" applyFont="1" applyFill="1" applyBorder="1" applyAlignment="1">
      <alignment horizontal="center" vertical="center"/>
    </xf>
    <xf numFmtId="0" fontId="0" fillId="19" borderId="33" xfId="0" applyFill="1" applyBorder="1"/>
    <xf numFmtId="0" fontId="0" fillId="19" borderId="33" xfId="0" applyFill="1" applyBorder="1" applyAlignment="1">
      <alignment horizontal="center"/>
    </xf>
    <xf numFmtId="0" fontId="0" fillId="19" borderId="81" xfId="0" applyFill="1" applyBorder="1"/>
    <xf numFmtId="0" fontId="0" fillId="19" borderId="10" xfId="0" applyFill="1" applyBorder="1" applyAlignment="1">
      <alignment horizontal="center"/>
    </xf>
    <xf numFmtId="0" fontId="0" fillId="19" borderId="10" xfId="0" applyFill="1" applyBorder="1"/>
    <xf numFmtId="0" fontId="0" fillId="19" borderId="11" xfId="0" applyFill="1" applyBorder="1"/>
    <xf numFmtId="0" fontId="0" fillId="0" borderId="31" xfId="0" applyBorder="1"/>
    <xf numFmtId="0" fontId="0" fillId="8" borderId="46" xfId="0" applyFill="1" applyBorder="1"/>
    <xf numFmtId="0" fontId="0" fillId="8" borderId="29" xfId="0" applyFill="1" applyBorder="1"/>
    <xf numFmtId="181" fontId="10" fillId="8" borderId="46" xfId="0" applyNumberFormat="1" applyFont="1" applyFill="1" applyBorder="1" applyAlignment="1">
      <alignment horizontal="center"/>
    </xf>
    <xf numFmtId="181" fontId="10" fillId="8" borderId="29" xfId="0" applyNumberFormat="1" applyFont="1" applyFill="1" applyBorder="1" applyAlignment="1">
      <alignment horizontal="center"/>
    </xf>
    <xf numFmtId="181" fontId="10" fillId="8" borderId="28" xfId="0" applyNumberFormat="1" applyFont="1" applyFill="1" applyBorder="1" applyAlignment="1">
      <alignment horizontal="center"/>
    </xf>
    <xf numFmtId="181" fontId="10" fillId="8" borderId="14" xfId="0" applyNumberFormat="1" applyFont="1" applyFill="1" applyBorder="1" applyAlignment="1">
      <alignment horizontal="center"/>
    </xf>
    <xf numFmtId="0" fontId="0" fillId="19" borderId="14" xfId="0" applyFill="1" applyBorder="1"/>
    <xf numFmtId="0" fontId="0" fillId="19" borderId="14" xfId="0" applyFill="1" applyBorder="1" applyAlignment="1">
      <alignment horizontal="center"/>
    </xf>
    <xf numFmtId="0" fontId="0" fillId="19" borderId="46" xfId="0" applyFill="1" applyBorder="1"/>
    <xf numFmtId="0" fontId="0" fillId="19" borderId="29" xfId="0" applyFill="1" applyBorder="1" applyAlignment="1">
      <alignment horizontal="center"/>
    </xf>
    <xf numFmtId="0" fontId="0" fillId="19" borderId="29" xfId="0" applyFill="1" applyBorder="1"/>
    <xf numFmtId="0" fontId="0" fillId="19" borderId="28" xfId="0" applyFill="1" applyBorder="1"/>
    <xf numFmtId="0" fontId="25" fillId="0" borderId="0" xfId="0" applyFont="1" applyAlignment="1">
      <alignment horizontal="left" vertical="center" indent="12"/>
    </xf>
    <xf numFmtId="0" fontId="0" fillId="0" borderId="0" xfId="0" applyFont="1" applyFill="1" applyAlignment="1">
      <alignment horizontal="center" vertical="top"/>
    </xf>
    <xf numFmtId="0" fontId="0" fillId="0" borderId="81" xfId="0" applyFont="1" applyBorder="1"/>
    <xf numFmtId="0" fontId="0" fillId="0" borderId="11" xfId="0" applyBorder="1"/>
    <xf numFmtId="0" fontId="39" fillId="0" borderId="0" xfId="0" applyFont="1" applyAlignment="1">
      <alignment horizontal="left" vertical="center" indent="12"/>
    </xf>
    <xf numFmtId="0" fontId="0" fillId="0" borderId="46" xfId="35" applyFont="1" applyFill="1" applyBorder="1" applyAlignment="1" applyProtection="1">
      <alignment vertical="top" wrapText="1"/>
    </xf>
    <xf numFmtId="182" fontId="0" fillId="0" borderId="28" xfId="35" applyNumberFormat="1" applyFont="1" applyFill="1" applyBorder="1" applyAlignment="1" applyProtection="1">
      <alignment horizontal="left" vertical="top" wrapText="1"/>
    </xf>
    <xf numFmtId="0" fontId="0" fillId="0" borderId="33" xfId="0" applyFont="1" applyBorder="1"/>
    <xf numFmtId="0" fontId="0" fillId="0" borderId="30" xfId="0" applyBorder="1"/>
    <xf numFmtId="49" fontId="0" fillId="0" borderId="14" xfId="35" applyNumberFormat="1" applyFont="1" applyFill="1" applyBorder="1" applyAlignment="1" applyProtection="1">
      <alignment vertical="top" wrapText="1"/>
    </xf>
    <xf numFmtId="0" fontId="25" fillId="0" borderId="46" xfId="0" applyFont="1" applyBorder="1"/>
    <xf numFmtId="14" fontId="26" fillId="6" borderId="36" xfId="0" applyNumberFormat="1" applyFont="1" applyFill="1" applyBorder="1" applyAlignment="1" applyProtection="1">
      <alignment horizontal="center" vertical="center" wrapText="1"/>
      <protection locked="0"/>
    </xf>
    <xf numFmtId="14" fontId="26" fillId="6" borderId="47" xfId="0" applyNumberFormat="1" applyFont="1" applyFill="1" applyBorder="1" applyAlignment="1" applyProtection="1">
      <alignment horizontal="center" vertical="center" wrapText="1"/>
      <protection locked="0"/>
    </xf>
    <xf numFmtId="14" fontId="26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33" xfId="0" applyFont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center" vertical="center" wrapText="1"/>
    </xf>
    <xf numFmtId="184" fontId="26" fillId="8" borderId="33" xfId="0" applyNumberFormat="1" applyFont="1" applyFill="1" applyBorder="1" applyAlignment="1" applyProtection="1">
      <alignment horizontal="center" vertical="center" wrapText="1"/>
    </xf>
    <xf numFmtId="171" fontId="0" fillId="0" borderId="37" xfId="50" applyNumberFormat="1" applyFont="1" applyFill="1" applyBorder="1" applyAlignment="1" applyProtection="1">
      <alignment vertical="center" shrinkToFit="1"/>
    </xf>
    <xf numFmtId="171" fontId="0" fillId="0" borderId="68" xfId="50" applyNumberFormat="1" applyFont="1" applyFill="1" applyBorder="1" applyAlignment="1" applyProtection="1">
      <alignment vertical="center" shrinkToFit="1"/>
    </xf>
    <xf numFmtId="171" fontId="0" fillId="0" borderId="38" xfId="50" applyNumberFormat="1" applyFont="1" applyFill="1" applyBorder="1" applyAlignment="1" applyProtection="1">
      <alignment horizontal="center" vertical="center" shrinkToFit="1"/>
    </xf>
    <xf numFmtId="171" fontId="0" fillId="0" borderId="39" xfId="50" applyNumberFormat="1" applyFont="1" applyFill="1" applyBorder="1" applyAlignment="1" applyProtection="1">
      <alignment horizontal="center" vertical="center" shrinkToFit="1"/>
    </xf>
    <xf numFmtId="171" fontId="0" fillId="6" borderId="38" xfId="50" applyFont="1" applyFill="1" applyBorder="1" applyAlignment="1" applyProtection="1">
      <protection locked="0"/>
    </xf>
    <xf numFmtId="171" fontId="0" fillId="6" borderId="40" xfId="50" applyFont="1" applyFill="1" applyBorder="1" applyAlignment="1" applyProtection="1">
      <protection locked="0"/>
    </xf>
    <xf numFmtId="165" fontId="0" fillId="0" borderId="39" xfId="0" applyNumberFormat="1" applyBorder="1"/>
    <xf numFmtId="0" fontId="0" fillId="17" borderId="40" xfId="0" applyFill="1" applyBorder="1" applyAlignment="1">
      <alignment shrinkToFit="1"/>
    </xf>
    <xf numFmtId="171" fontId="26" fillId="18" borderId="14" xfId="50" applyNumberFormat="1" applyFont="1" applyFill="1" applyBorder="1" applyAlignment="1" applyProtection="1">
      <alignment horizontal="center" vertical="center"/>
    </xf>
    <xf numFmtId="171" fontId="26" fillId="18" borderId="14" xfId="50" applyNumberFormat="1" applyFont="1" applyFill="1" applyBorder="1" applyAlignment="1" applyProtection="1">
      <alignment horizontal="center" vertical="center" shrinkToFit="1"/>
    </xf>
    <xf numFmtId="0" fontId="0" fillId="18" borderId="41" xfId="0" applyFill="1" applyBorder="1"/>
    <xf numFmtId="0" fontId="0" fillId="18" borderId="34" xfId="0" applyFill="1" applyBorder="1"/>
    <xf numFmtId="0" fontId="0" fillId="18" borderId="63" xfId="0" applyFill="1" applyBorder="1"/>
    <xf numFmtId="0" fontId="0" fillId="18" borderId="82" xfId="0" applyFill="1" applyBorder="1"/>
    <xf numFmtId="0" fontId="25" fillId="0" borderId="0" xfId="0" applyFont="1" applyAlignment="1">
      <alignment horizontal="left" vertical="center" indent="15"/>
    </xf>
    <xf numFmtId="0" fontId="0" fillId="0" borderId="13" xfId="0" applyFont="1" applyFill="1" applyBorder="1" applyAlignment="1" applyProtection="1">
      <alignment horizontal="center" wrapText="1"/>
    </xf>
    <xf numFmtId="0" fontId="0" fillId="0" borderId="45" xfId="0" applyFont="1" applyFill="1" applyBorder="1" applyAlignment="1" applyProtection="1">
      <alignment horizontal="center" wrapText="1"/>
    </xf>
    <xf numFmtId="0" fontId="26" fillId="0" borderId="31" xfId="0" applyFont="1" applyFill="1" applyBorder="1" applyAlignment="1" applyProtection="1">
      <alignment horizontal="right" vertical="center" wrapText="1"/>
    </xf>
    <xf numFmtId="185" fontId="26" fillId="0" borderId="31" xfId="32" applyNumberFormat="1" applyFont="1" applyFill="1" applyBorder="1" applyAlignment="1" applyProtection="1">
      <alignment horizontal="right" vertical="center" shrinkToFit="1"/>
    </xf>
    <xf numFmtId="0" fontId="0" fillId="0" borderId="0" xfId="0" applyBorder="1" applyAlignment="1"/>
    <xf numFmtId="0" fontId="26" fillId="0" borderId="12" xfId="37" applyFont="1" applyBorder="1" applyAlignment="1" applyProtection="1"/>
    <xf numFmtId="0" fontId="0" fillId="0" borderId="28" xfId="0" applyBorder="1" applyAlignment="1">
      <alignment shrinkToFit="1"/>
    </xf>
    <xf numFmtId="0" fontId="0" fillId="0" borderId="30" xfId="35" applyFont="1" applyFill="1" applyBorder="1" applyAlignment="1" applyProtection="1">
      <alignment vertical="top" wrapText="1"/>
    </xf>
    <xf numFmtId="4" fontId="0" fillId="0" borderId="14" xfId="35" applyNumberFormat="1" applyFont="1" applyFill="1" applyBorder="1" applyAlignment="1" applyProtection="1">
      <alignment horizontal="left" vertical="top" wrapText="1"/>
    </xf>
    <xf numFmtId="4" fontId="0" fillId="0" borderId="46" xfId="35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wrapText="1"/>
    </xf>
    <xf numFmtId="0" fontId="23" fillId="0" borderId="11" xfId="0" applyFont="1" applyBorder="1" applyAlignment="1">
      <alignment horizontal="center"/>
    </xf>
    <xf numFmtId="0" fontId="55" fillId="0" borderId="0" xfId="0" applyFont="1" applyBorder="1" applyAlignment="1" applyProtection="1">
      <alignment horizontal="center" vertical="center" wrapText="1"/>
    </xf>
    <xf numFmtId="170" fontId="26" fillId="0" borderId="46" xfId="0" applyNumberFormat="1" applyFont="1" applyBorder="1" applyAlignment="1" applyProtection="1">
      <alignment horizontal="center"/>
    </xf>
    <xf numFmtId="10" fontId="26" fillId="0" borderId="28" xfId="0" applyNumberFormat="1" applyFont="1" applyFill="1" applyBorder="1" applyAlignment="1" applyProtection="1">
      <alignment horizontal="center" shrinkToFit="1"/>
    </xf>
    <xf numFmtId="178" fontId="0" fillId="0" borderId="29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wrapText="1"/>
    </xf>
    <xf numFmtId="0" fontId="26" fillId="0" borderId="31" xfId="0" applyFont="1" applyBorder="1" applyAlignment="1">
      <alignment horizontal="center" vertical="center"/>
    </xf>
    <xf numFmtId="179" fontId="26" fillId="0" borderId="38" xfId="0" applyNumberFormat="1" applyFont="1" applyBorder="1" applyAlignment="1" applyProtection="1">
      <alignment horizontal="center" vertical="center"/>
    </xf>
    <xf numFmtId="0" fontId="0" fillId="0" borderId="39" xfId="0" applyBorder="1" applyAlignment="1" applyProtection="1">
      <alignment horizontal="left" vertical="top"/>
    </xf>
    <xf numFmtId="49" fontId="0" fillId="0" borderId="39" xfId="0" applyNumberFormat="1" applyFill="1" applyBorder="1" applyAlignment="1" applyProtection="1">
      <alignment horizontal="center" vertical="center" wrapText="1"/>
    </xf>
    <xf numFmtId="0" fontId="0" fillId="0" borderId="39" xfId="0" applyFill="1" applyBorder="1" applyAlignment="1" applyProtection="1">
      <alignment horizontal="center"/>
    </xf>
    <xf numFmtId="0" fontId="0" fillId="0" borderId="39" xfId="0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</xf>
    <xf numFmtId="0" fontId="0" fillId="0" borderId="78" xfId="0" applyBorder="1" applyAlignment="1" applyProtection="1">
      <alignment horizontal="center" vertical="center"/>
    </xf>
    <xf numFmtId="178" fontId="0" fillId="0" borderId="41" xfId="0" applyNumberFormat="1" applyBorder="1" applyAlignment="1" applyProtection="1">
      <alignment horizontal="center" vertical="center"/>
    </xf>
    <xf numFmtId="178" fontId="0" fillId="0" borderId="0" xfId="0" applyNumberFormat="1" applyFont="1" applyBorder="1" applyAlignment="1" applyProtection="1">
      <alignment horizontal="center" vertical="center"/>
    </xf>
    <xf numFmtId="178" fontId="0" fillId="0" borderId="37" xfId="0" applyNumberFormat="1" applyBorder="1" applyAlignment="1" applyProtection="1">
      <alignment horizontal="center" vertical="center"/>
    </xf>
    <xf numFmtId="178" fontId="0" fillId="0" borderId="78" xfId="0" applyNumberFormat="1" applyBorder="1" applyAlignment="1" applyProtection="1">
      <alignment horizontal="center" vertical="center"/>
    </xf>
    <xf numFmtId="178" fontId="0" fillId="0" borderId="68" xfId="0" applyNumberFormat="1" applyBorder="1" applyAlignment="1" applyProtection="1">
      <alignment horizontal="center" vertical="center"/>
    </xf>
    <xf numFmtId="10" fontId="0" fillId="0" borderId="68" xfId="0" applyNumberFormat="1" applyBorder="1" applyAlignment="1" applyProtection="1">
      <alignment horizontal="center" vertical="center"/>
    </xf>
    <xf numFmtId="0" fontId="0" fillId="0" borderId="32" xfId="0" applyFont="1" applyBorder="1" applyAlignment="1" applyProtection="1">
      <alignment horizontal="center" vertical="center" wrapText="1"/>
    </xf>
    <xf numFmtId="181" fontId="10" fillId="8" borderId="83" xfId="0" applyNumberFormat="1" applyFont="1" applyFill="1" applyBorder="1" applyAlignment="1">
      <alignment horizontal="center"/>
    </xf>
    <xf numFmtId="181" fontId="10" fillId="8" borderId="84" xfId="0" applyNumberFormat="1" applyFont="1" applyFill="1" applyBorder="1" applyAlignment="1">
      <alignment horizontal="center"/>
    </xf>
    <xf numFmtId="181" fontId="10" fillId="8" borderId="65" xfId="0" applyNumberFormat="1" applyFont="1" applyFill="1" applyBorder="1" applyAlignment="1">
      <alignment horizontal="center"/>
    </xf>
    <xf numFmtId="181" fontId="10" fillId="8" borderId="66" xfId="0" applyNumberFormat="1" applyFont="1" applyFill="1" applyBorder="1" applyAlignment="1">
      <alignment horizontal="center"/>
    </xf>
    <xf numFmtId="0" fontId="0" fillId="19" borderId="81" xfId="0" applyFill="1" applyBorder="1" applyAlignment="1"/>
    <xf numFmtId="0" fontId="0" fillId="19" borderId="10" xfId="0" applyFill="1" applyBorder="1" applyAlignment="1"/>
    <xf numFmtId="0" fontId="0" fillId="19" borderId="11" xfId="0" applyFill="1" applyBorder="1" applyAlignment="1"/>
    <xf numFmtId="178" fontId="0" fillId="0" borderId="41" xfId="0" applyNumberFormat="1" applyFont="1" applyFill="1" applyBorder="1" applyAlignment="1">
      <alignment horizontal="center" vertical="center"/>
    </xf>
    <xf numFmtId="178" fontId="0" fillId="0" borderId="37" xfId="0" applyNumberFormat="1" applyFont="1" applyFill="1" applyBorder="1" applyAlignment="1">
      <alignment horizontal="center" vertical="center"/>
    </xf>
    <xf numFmtId="178" fontId="0" fillId="0" borderId="78" xfId="0" applyNumberFormat="1" applyFont="1" applyFill="1" applyBorder="1" applyAlignment="1">
      <alignment horizontal="center" vertical="center"/>
    </xf>
    <xf numFmtId="178" fontId="0" fillId="0" borderId="68" xfId="0" applyNumberFormat="1" applyFont="1" applyFill="1" applyBorder="1" applyAlignment="1">
      <alignment horizontal="center" vertical="center"/>
    </xf>
    <xf numFmtId="0" fontId="0" fillId="19" borderId="32" xfId="0" applyFill="1" applyBorder="1" applyAlignment="1"/>
    <xf numFmtId="0" fontId="0" fillId="19" borderId="0" xfId="0" applyFont="1" applyFill="1" applyBorder="1" applyAlignment="1">
      <alignment horizontal="center"/>
    </xf>
    <xf numFmtId="0" fontId="0" fillId="19" borderId="12" xfId="0" applyFont="1" applyFill="1" applyBorder="1" applyAlignment="1">
      <alignment horizontal="center"/>
    </xf>
    <xf numFmtId="0" fontId="23" fillId="0" borderId="0" xfId="0" applyFont="1"/>
    <xf numFmtId="178" fontId="0" fillId="8" borderId="41" xfId="0" applyNumberFormat="1" applyFont="1" applyFill="1" applyBorder="1" applyAlignment="1">
      <alignment horizontal="center" vertical="center"/>
    </xf>
    <xf numFmtId="178" fontId="0" fillId="8" borderId="37" xfId="0" applyNumberFormat="1" applyFont="1" applyFill="1" applyBorder="1" applyAlignment="1">
      <alignment horizontal="center" vertical="center"/>
    </xf>
    <xf numFmtId="178" fontId="0" fillId="8" borderId="78" xfId="0" applyNumberFormat="1" applyFont="1" applyFill="1" applyBorder="1" applyAlignment="1">
      <alignment horizontal="center" vertical="center"/>
    </xf>
    <xf numFmtId="178" fontId="0" fillId="8" borderId="68" xfId="0" applyNumberFormat="1" applyFont="1" applyFill="1" applyBorder="1" applyAlignment="1">
      <alignment horizontal="center" vertical="center"/>
    </xf>
    <xf numFmtId="0" fontId="0" fillId="19" borderId="83" xfId="0" applyFont="1" applyFill="1" applyBorder="1" applyAlignment="1">
      <alignment horizontal="right"/>
    </xf>
    <xf numFmtId="178" fontId="57" fillId="0" borderId="39" xfId="0" applyNumberFormat="1" applyFont="1" applyBorder="1"/>
    <xf numFmtId="178" fontId="0" fillId="0" borderId="85" xfId="0" applyNumberFormat="1" applyFont="1" applyFill="1" applyBorder="1" applyAlignment="1">
      <alignment horizontal="center" vertical="center"/>
    </xf>
    <xf numFmtId="178" fontId="0" fillId="0" borderId="58" xfId="0" applyNumberFormat="1" applyFont="1" applyFill="1" applyBorder="1" applyAlignment="1">
      <alignment horizontal="center" vertical="center"/>
    </xf>
    <xf numFmtId="178" fontId="0" fillId="0" borderId="59" xfId="0" applyNumberFormat="1" applyFont="1" applyFill="1" applyBorder="1" applyAlignment="1">
      <alignment horizontal="center" vertical="center"/>
    </xf>
    <xf numFmtId="178" fontId="0" fillId="0" borderId="60" xfId="0" applyNumberFormat="1" applyFont="1" applyFill="1" applyBorder="1" applyAlignment="1">
      <alignment horizontal="center" vertical="center"/>
    </xf>
    <xf numFmtId="0" fontId="0" fillId="19" borderId="86" xfId="0" applyFont="1" applyFill="1" applyBorder="1" applyAlignment="1">
      <alignment horizontal="right"/>
    </xf>
    <xf numFmtId="178" fontId="19" fillId="8" borderId="31" xfId="0" applyNumberFormat="1" applyFont="1" applyFill="1" applyBorder="1" applyAlignment="1">
      <alignment horizontal="center" vertical="center"/>
    </xf>
    <xf numFmtId="178" fontId="19" fillId="8" borderId="13" xfId="0" applyNumberFormat="1" applyFont="1" applyFill="1" applyBorder="1" applyAlignment="1">
      <alignment horizontal="center" vertical="center"/>
    </xf>
    <xf numFmtId="178" fontId="19" fillId="8" borderId="44" xfId="0" applyNumberFormat="1" applyFont="1" applyFill="1" applyBorder="1" applyAlignment="1">
      <alignment horizontal="center" vertical="center"/>
    </xf>
    <xf numFmtId="178" fontId="19" fillId="8" borderId="45" xfId="0" applyNumberFormat="1" applyFont="1" applyFill="1" applyBorder="1" applyAlignment="1">
      <alignment horizontal="center" vertical="center"/>
    </xf>
    <xf numFmtId="0" fontId="0" fillId="19" borderId="46" xfId="0" applyFill="1" applyBorder="1" applyAlignment="1"/>
    <xf numFmtId="0" fontId="0" fillId="19" borderId="29" xfId="0" applyFill="1" applyBorder="1" applyAlignment="1"/>
    <xf numFmtId="0" fontId="0" fillId="19" borderId="28" xfId="0" applyFill="1" applyBorder="1" applyAlignment="1"/>
    <xf numFmtId="178" fontId="0" fillId="0" borderId="0" xfId="0" applyNumberFormat="1"/>
    <xf numFmtId="0" fontId="19" fillId="0" borderId="0" xfId="35" applyFont="1" applyBorder="1" applyAlignment="1" applyProtection="1">
      <alignment vertical="center"/>
    </xf>
    <xf numFmtId="0" fontId="0" fillId="0" borderId="0" xfId="35" applyFont="1" applyBorder="1" applyAlignment="1" applyProtection="1">
      <alignment horizontal="left" vertical="center"/>
    </xf>
    <xf numFmtId="0" fontId="0" fillId="0" borderId="0" xfId="35" applyFont="1"/>
    <xf numFmtId="0" fontId="0" fillId="0" borderId="0" xfId="35" applyFont="1" applyFill="1" applyBorder="1" applyAlignment="1" applyProtection="1"/>
    <xf numFmtId="0" fontId="0" fillId="0" borderId="10" xfId="0" applyFont="1" applyBorder="1" applyAlignment="1" applyProtection="1">
      <alignment horizontal="right"/>
    </xf>
    <xf numFmtId="171" fontId="23" fillId="0" borderId="0" xfId="50" applyFont="1" applyFill="1" applyBorder="1" applyAlignment="1" applyProtection="1"/>
    <xf numFmtId="168" fontId="0" fillId="0" borderId="0" xfId="35" applyNumberFormat="1" applyFont="1" applyFill="1" applyBorder="1" applyAlignment="1" applyProtection="1">
      <alignment horizontal="left"/>
    </xf>
    <xf numFmtId="0" fontId="0" fillId="0" borderId="0" xfId="35" applyFont="1" applyAlignment="1" applyProtection="1"/>
    <xf numFmtId="171" fontId="58" fillId="0" borderId="0" xfId="50" applyFill="1" applyBorder="1" applyAlignment="1" applyProtection="1"/>
    <xf numFmtId="0" fontId="0" fillId="0" borderId="0" xfId="35" applyFont="1" applyFill="1" applyBorder="1" applyAlignment="1" applyProtection="1">
      <alignment horizontal="left"/>
    </xf>
    <xf numFmtId="0" fontId="0" fillId="6" borderId="0" xfId="35" applyFont="1" applyFill="1" applyBorder="1" applyAlignment="1" applyProtection="1">
      <alignment vertical="top"/>
      <protection locked="0"/>
    </xf>
    <xf numFmtId="0" fontId="26" fillId="0" borderId="0" xfId="35" applyFont="1" applyFill="1" applyBorder="1" applyAlignment="1" applyProtection="1">
      <alignment vertical="top"/>
    </xf>
    <xf numFmtId="0" fontId="0" fillId="0" borderId="0" xfId="35" applyFont="1" applyFill="1" applyBorder="1" applyAlignment="1" applyProtection="1">
      <alignment horizontal="left" vertical="top"/>
    </xf>
    <xf numFmtId="180" fontId="26" fillId="0" borderId="39" xfId="50" applyNumberFormat="1" applyFont="1" applyFill="1" applyBorder="1" applyAlignment="1" applyProtection="1">
      <alignment vertical="top" shrinkToFit="1"/>
    </xf>
    <xf numFmtId="180" fontId="26" fillId="0" borderId="70" xfId="50" applyNumberFormat="1" applyFont="1" applyFill="1" applyBorder="1" applyAlignment="1" applyProtection="1">
      <alignment horizontal="right" vertical="top" shrinkToFit="1"/>
    </xf>
    <xf numFmtId="10" fontId="26" fillId="0" borderId="70" xfId="39" applyNumberFormat="1" applyFont="1" applyFill="1" applyBorder="1" applyAlignment="1" applyProtection="1">
      <alignment horizontal="right" vertical="top" shrinkToFit="1"/>
    </xf>
    <xf numFmtId="0" fontId="0" fillId="6" borderId="0" xfId="35" applyFont="1" applyFill="1" applyBorder="1" applyAlignment="1" applyProtection="1">
      <alignment vertical="top" wrapText="1"/>
      <protection locked="0"/>
    </xf>
    <xf numFmtId="0" fontId="0" fillId="0" borderId="29" xfId="35" applyFont="1" applyBorder="1" applyAlignment="1" applyProtection="1"/>
    <xf numFmtId="0" fontId="0" fillId="0" borderId="0" xfId="35" applyFont="1" applyBorder="1" applyAlignment="1" applyProtection="1"/>
    <xf numFmtId="0" fontId="62" fillId="0" borderId="0" xfId="0" applyFont="1" applyAlignment="1">
      <alignment horizontal="center"/>
    </xf>
    <xf numFmtId="0" fontId="0" fillId="0" borderId="0" xfId="0" applyFill="1" applyBorder="1"/>
    <xf numFmtId="0" fontId="0" fillId="21" borderId="0" xfId="0" applyFill="1"/>
    <xf numFmtId="0" fontId="0" fillId="21" borderId="0" xfId="0" applyFill="1" applyAlignment="1">
      <alignment horizontal="center" vertical="center"/>
    </xf>
    <xf numFmtId="0" fontId="20" fillId="21" borderId="0" xfId="0" applyFont="1" applyFill="1" applyAlignment="1">
      <alignment vertical="center"/>
    </xf>
    <xf numFmtId="0" fontId="21" fillId="21" borderId="0" xfId="0" applyFont="1" applyFill="1" applyAlignment="1">
      <alignment horizontal="center" vertical="top"/>
    </xf>
    <xf numFmtId="0" fontId="21" fillId="21" borderId="0" xfId="0" applyFont="1" applyFill="1" applyAlignment="1">
      <alignment vertical="top"/>
    </xf>
    <xf numFmtId="0" fontId="0" fillId="21" borderId="0" xfId="0" applyFill="1" applyBorder="1"/>
    <xf numFmtId="0" fontId="0" fillId="21" borderId="0" xfId="0" applyFill="1" applyBorder="1" applyAlignment="1">
      <alignment horizontal="center" vertical="center"/>
    </xf>
    <xf numFmtId="0" fontId="61" fillId="22" borderId="87" xfId="30" applyFont="1" applyFill="1" applyBorder="1" applyAlignment="1">
      <alignment horizontal="center" vertical="center"/>
    </xf>
    <xf numFmtId="0" fontId="19" fillId="23" borderId="87" xfId="30" applyFont="1" applyFill="1" applyBorder="1" applyAlignment="1">
      <alignment horizontal="center" vertical="center"/>
    </xf>
    <xf numFmtId="0" fontId="25" fillId="23" borderId="87" xfId="30" applyFont="1" applyFill="1" applyBorder="1" applyAlignment="1">
      <alignment horizontal="center" vertical="center"/>
    </xf>
    <xf numFmtId="0" fontId="60" fillId="23" borderId="87" xfId="30" applyFont="1" applyFill="1" applyBorder="1" applyAlignment="1">
      <alignment horizontal="center" vertical="center"/>
    </xf>
    <xf numFmtId="0" fontId="62" fillId="0" borderId="0" xfId="0" applyFont="1" applyFill="1" applyBorder="1" applyAlignment="1" applyProtection="1">
      <alignment horizontal="center" vertical="center"/>
      <protection locked="0"/>
    </xf>
    <xf numFmtId="0" fontId="19" fillId="24" borderId="87" xfId="30" applyFont="1" applyFill="1" applyBorder="1" applyAlignment="1">
      <alignment horizontal="center" vertical="center"/>
    </xf>
    <xf numFmtId="0" fontId="60" fillId="24" borderId="87" xfId="30" applyFont="1" applyFill="1" applyBorder="1" applyAlignment="1">
      <alignment horizontal="center" vertical="center"/>
    </xf>
    <xf numFmtId="0" fontId="26" fillId="25" borderId="87" xfId="30" applyFont="1" applyFill="1" applyBorder="1" applyAlignment="1">
      <alignment horizontal="center" vertical="center"/>
    </xf>
    <xf numFmtId="0" fontId="25" fillId="25" borderId="87" xfId="30" applyFont="1" applyFill="1" applyBorder="1" applyAlignment="1">
      <alignment horizontal="center" vertical="center"/>
    </xf>
    <xf numFmtId="0" fontId="60" fillId="25" borderId="87" xfId="30" applyFont="1" applyFill="1" applyBorder="1" applyAlignment="1">
      <alignment horizontal="center" vertical="center"/>
    </xf>
    <xf numFmtId="0" fontId="0" fillId="26" borderId="0" xfId="0" applyFont="1" applyFill="1" applyBorder="1"/>
    <xf numFmtId="0" fontId="0" fillId="3" borderId="0" xfId="0" applyFont="1" applyFill="1" applyBorder="1" applyAlignment="1" applyProtection="1">
      <alignment vertical="center"/>
    </xf>
    <xf numFmtId="0" fontId="0" fillId="0" borderId="88" xfId="0" applyBorder="1"/>
    <xf numFmtId="0" fontId="0" fillId="0" borderId="89" xfId="0" applyBorder="1"/>
    <xf numFmtId="0" fontId="0" fillId="0" borderId="90" xfId="0" applyBorder="1"/>
    <xf numFmtId="0" fontId="0" fillId="0" borderId="91" xfId="0" applyBorder="1"/>
    <xf numFmtId="0" fontId="26" fillId="0" borderId="0" xfId="0" applyFont="1" applyBorder="1" applyAlignment="1">
      <alignment vertical="center"/>
    </xf>
    <xf numFmtId="0" fontId="0" fillId="0" borderId="92" xfId="0" applyBorder="1"/>
    <xf numFmtId="0" fontId="0" fillId="0" borderId="92" xfId="0" applyFont="1" applyFill="1" applyBorder="1" applyAlignment="1">
      <alignment vertical="center"/>
    </xf>
    <xf numFmtId="0" fontId="0" fillId="0" borderId="92" xfId="0" applyFont="1" applyFill="1" applyBorder="1"/>
    <xf numFmtId="0" fontId="0" fillId="0" borderId="93" xfId="0" applyBorder="1"/>
    <xf numFmtId="0" fontId="0" fillId="0" borderId="94" xfId="0" applyBorder="1"/>
    <xf numFmtId="0" fontId="0" fillId="0" borderId="95" xfId="0" applyBorder="1"/>
    <xf numFmtId="0" fontId="62" fillId="0" borderId="0" xfId="0" applyFont="1"/>
    <xf numFmtId="0" fontId="0" fillId="0" borderId="44" xfId="0" applyFont="1" applyFill="1" applyBorder="1"/>
    <xf numFmtId="0" fontId="49" fillId="0" borderId="0" xfId="0" applyFont="1" applyFill="1" applyAlignment="1">
      <alignment horizontal="center"/>
    </xf>
    <xf numFmtId="0" fontId="49" fillId="27" borderId="13" xfId="0" applyFont="1" applyFill="1" applyBorder="1"/>
    <xf numFmtId="0" fontId="0" fillId="27" borderId="13" xfId="0" applyFill="1" applyBorder="1"/>
    <xf numFmtId="0" fontId="0" fillId="27" borderId="44" xfId="0" applyFont="1" applyFill="1" applyBorder="1"/>
    <xf numFmtId="0" fontId="0" fillId="27" borderId="45" xfId="0" applyFont="1" applyFill="1" applyBorder="1"/>
    <xf numFmtId="0" fontId="0" fillId="27" borderId="31" xfId="0" applyFont="1" applyFill="1" applyBorder="1" applyProtection="1"/>
    <xf numFmtId="0" fontId="0" fillId="27" borderId="13" xfId="0" applyFont="1" applyFill="1" applyBorder="1"/>
    <xf numFmtId="0" fontId="0" fillId="27" borderId="31" xfId="0" applyFont="1" applyFill="1" applyBorder="1" applyAlignment="1">
      <alignment horizontal="left"/>
    </xf>
    <xf numFmtId="0" fontId="0" fillId="27" borderId="31" xfId="0" applyFont="1" applyFill="1" applyBorder="1" applyAlignment="1" applyProtection="1">
      <alignment horizontal="center"/>
    </xf>
    <xf numFmtId="0" fontId="26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26" fillId="6" borderId="28" xfId="0" applyNumberFormat="1" applyFont="1" applyFill="1" applyBorder="1" applyAlignment="1" applyProtection="1">
      <alignment horizontal="center" vertical="center" wrapText="1"/>
      <protection locked="0"/>
    </xf>
    <xf numFmtId="0" fontId="0" fillId="28" borderId="13" xfId="0" applyFont="1" applyFill="1" applyBorder="1"/>
    <xf numFmtId="0" fontId="0" fillId="28" borderId="45" xfId="0" applyFont="1" applyFill="1" applyBorder="1" applyProtection="1"/>
    <xf numFmtId="0" fontId="0" fillId="28" borderId="44" xfId="0" applyFont="1" applyFill="1" applyBorder="1"/>
    <xf numFmtId="0" fontId="0" fillId="28" borderId="45" xfId="0" applyFont="1" applyFill="1" applyBorder="1"/>
    <xf numFmtId="0" fontId="0" fillId="29" borderId="31" xfId="0" applyFont="1" applyFill="1" applyBorder="1"/>
    <xf numFmtId="171" fontId="23" fillId="18" borderId="31" xfId="50" applyNumberFormat="1" applyFont="1" applyFill="1" applyBorder="1" applyAlignment="1" applyProtection="1">
      <alignment horizontal="center" vertical="center" shrinkToFit="1"/>
    </xf>
    <xf numFmtId="0" fontId="44" fillId="0" borderId="51" xfId="0" applyFont="1" applyBorder="1" applyAlignment="1" applyProtection="1">
      <alignment horizontal="center" vertical="center" wrapText="1"/>
    </xf>
    <xf numFmtId="171" fontId="0" fillId="0" borderId="38" xfId="50" applyNumberFormat="1" applyFont="1" applyFill="1" applyBorder="1" applyAlignment="1" applyProtection="1">
      <alignment vertical="center" shrinkToFit="1"/>
    </xf>
    <xf numFmtId="10" fontId="0" fillId="0" borderId="40" xfId="50" applyNumberFormat="1" applyFont="1" applyFill="1" applyBorder="1" applyAlignment="1" applyProtection="1">
      <alignment vertical="center" shrinkToFit="1"/>
    </xf>
    <xf numFmtId="10" fontId="26" fillId="18" borderId="14" xfId="50" applyNumberFormat="1" applyFont="1" applyFill="1" applyBorder="1" applyAlignment="1" applyProtection="1">
      <alignment horizontal="center" vertical="center"/>
    </xf>
    <xf numFmtId="171" fontId="0" fillId="6" borderId="41" xfId="50" applyFont="1" applyFill="1" applyBorder="1" applyAlignment="1" applyProtection="1">
      <alignment vertical="center" wrapText="1"/>
      <protection locked="0"/>
    </xf>
    <xf numFmtId="0" fontId="48" fillId="29" borderId="44" xfId="36" applyFont="1" applyFill="1" applyBorder="1"/>
    <xf numFmtId="0" fontId="48" fillId="27" borderId="0" xfId="36" applyFont="1" applyFill="1"/>
    <xf numFmtId="0" fontId="48" fillId="28" borderId="31" xfId="36" applyFont="1" applyFill="1" applyBorder="1" applyAlignment="1">
      <alignment horizontal="center"/>
    </xf>
    <xf numFmtId="0" fontId="48" fillId="28" borderId="13" xfId="36" applyFont="1" applyFill="1" applyBorder="1"/>
    <xf numFmtId="0" fontId="48" fillId="28" borderId="44" xfId="36" applyFont="1" applyFill="1" applyBorder="1"/>
    <xf numFmtId="0" fontId="48" fillId="30" borderId="44" xfId="36" applyFont="1" applyFill="1" applyBorder="1" applyAlignment="1">
      <alignment horizontal="center"/>
    </xf>
    <xf numFmtId="165" fontId="0" fillId="28" borderId="44" xfId="51" applyFont="1" applyFill="1" applyBorder="1" applyAlignment="1" applyProtection="1">
      <alignment horizontal="center"/>
    </xf>
    <xf numFmtId="0" fontId="48" fillId="28" borderId="45" xfId="36" applyFont="1" applyFill="1" applyBorder="1"/>
    <xf numFmtId="0" fontId="48" fillId="27" borderId="13" xfId="36" applyFont="1" applyFill="1" applyBorder="1" applyAlignment="1">
      <alignment horizontal="center"/>
    </xf>
    <xf numFmtId="0" fontId="48" fillId="27" borderId="45" xfId="36" applyFont="1" applyFill="1" applyBorder="1" applyAlignment="1">
      <alignment horizontal="center"/>
    </xf>
    <xf numFmtId="0" fontId="48" fillId="27" borderId="44" xfId="36" applyFont="1" applyFill="1" applyBorder="1" applyAlignment="1">
      <alignment horizontal="center"/>
    </xf>
    <xf numFmtId="0" fontId="0" fillId="27" borderId="44" xfId="0" applyFill="1" applyBorder="1"/>
    <xf numFmtId="0" fontId="0" fillId="27" borderId="45" xfId="0" applyFill="1" applyBorder="1"/>
    <xf numFmtId="0" fontId="0" fillId="27" borderId="36" xfId="0" applyFont="1" applyFill="1" applyBorder="1"/>
    <xf numFmtId="0" fontId="0" fillId="27" borderId="47" xfId="0" applyFont="1" applyFill="1" applyBorder="1"/>
    <xf numFmtId="0" fontId="0" fillId="27" borderId="48" xfId="0" applyFont="1" applyFill="1" applyBorder="1"/>
    <xf numFmtId="171" fontId="0" fillId="6" borderId="39" xfId="50" applyFont="1" applyFill="1" applyBorder="1" applyAlignment="1" applyProtection="1">
      <protection locked="0"/>
    </xf>
    <xf numFmtId="0" fontId="0" fillId="8" borderId="19" xfId="0" applyFill="1" applyBorder="1" applyAlignment="1">
      <alignment horizontal="center"/>
    </xf>
    <xf numFmtId="4" fontId="0" fillId="8" borderId="39" xfId="0" applyNumberFormat="1" applyFill="1" applyBorder="1"/>
    <xf numFmtId="4" fontId="0" fillId="8" borderId="24" xfId="0" applyNumberFormat="1" applyFill="1" applyBorder="1"/>
    <xf numFmtId="0" fontId="0" fillId="8" borderId="25" xfId="0" applyFill="1" applyBorder="1" applyAlignment="1">
      <alignment horizontal="center"/>
    </xf>
    <xf numFmtId="4" fontId="0" fillId="8" borderId="96" xfId="0" applyNumberFormat="1" applyFill="1" applyBorder="1"/>
    <xf numFmtId="4" fontId="0" fillId="8" borderId="26" xfId="0" applyNumberFormat="1" applyFill="1" applyBorder="1"/>
    <xf numFmtId="0" fontId="0" fillId="8" borderId="17" xfId="0" applyFill="1" applyBorder="1" applyAlignment="1">
      <alignment horizontal="center"/>
    </xf>
    <xf numFmtId="4" fontId="0" fillId="8" borderId="97" xfId="0" applyNumberFormat="1" applyFill="1" applyBorder="1"/>
    <xf numFmtId="4" fontId="0" fillId="8" borderId="98" xfId="0" applyNumberForma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1" fontId="0" fillId="6" borderId="0" xfId="0" applyNumberFormat="1" applyFill="1" applyBorder="1" applyAlignment="1" applyProtection="1">
      <alignment horizontal="center"/>
      <protection locked="0"/>
    </xf>
    <xf numFmtId="171" fontId="0" fillId="6" borderId="38" xfId="50" applyFont="1" applyFill="1" applyBorder="1" applyAlignment="1" applyProtection="1">
      <alignment vertical="center" wrapText="1"/>
      <protection locked="0"/>
    </xf>
    <xf numFmtId="10" fontId="26" fillId="18" borderId="73" xfId="50" applyNumberFormat="1" applyFont="1" applyFill="1" applyBorder="1" applyAlignment="1" applyProtection="1">
      <alignment horizontal="center" vertical="center"/>
    </xf>
    <xf numFmtId="171" fontId="26" fillId="18" borderId="73" xfId="50" applyNumberFormat="1" applyFont="1" applyFill="1" applyBorder="1" applyAlignment="1" applyProtection="1">
      <alignment horizontal="center" vertical="center"/>
    </xf>
    <xf numFmtId="10" fontId="26" fillId="18" borderId="74" xfId="50" applyNumberFormat="1" applyFont="1" applyFill="1" applyBorder="1" applyAlignment="1" applyProtection="1">
      <alignment horizontal="center" vertical="center"/>
    </xf>
    <xf numFmtId="0" fontId="0" fillId="0" borderId="46" xfId="0" applyNumberFormat="1" applyBorder="1" applyProtection="1">
      <protection locked="0"/>
    </xf>
    <xf numFmtId="185" fontId="0" fillId="0" borderId="0" xfId="0" applyNumberFormat="1"/>
    <xf numFmtId="10" fontId="49" fillId="0" borderId="99" xfId="40" applyNumberFormat="1" applyFont="1" applyFill="1" applyBorder="1" applyAlignment="1" applyProtection="1">
      <alignment horizontal="center"/>
      <protection locked="0"/>
    </xf>
    <xf numFmtId="0" fontId="32" fillId="0" borderId="0" xfId="0" applyFont="1" applyFill="1" applyBorder="1" applyAlignment="1" applyProtection="1">
      <alignment horizontal="left" wrapText="1"/>
    </xf>
    <xf numFmtId="0" fontId="0" fillId="0" borderId="0" xfId="0" applyProtection="1"/>
    <xf numFmtId="4" fontId="0" fillId="6" borderId="52" xfId="0" applyNumberFormat="1" applyFill="1" applyBorder="1" applyAlignment="1" applyProtection="1">
      <protection locked="0"/>
    </xf>
    <xf numFmtId="4" fontId="0" fillId="6" borderId="67" xfId="0" applyNumberFormat="1" applyFill="1" applyBorder="1" applyAlignment="1" applyProtection="1">
      <protection locked="0"/>
    </xf>
    <xf numFmtId="4" fontId="0" fillId="6" borderId="73" xfId="0" applyNumberFormat="1" applyFill="1" applyBorder="1" applyAlignment="1" applyProtection="1">
      <protection locked="0"/>
    </xf>
    <xf numFmtId="4" fontId="0" fillId="6" borderId="74" xfId="0" applyNumberFormat="1" applyFill="1" applyBorder="1" applyAlignment="1" applyProtection="1">
      <protection locked="0"/>
    </xf>
    <xf numFmtId="0" fontId="0" fillId="0" borderId="100" xfId="0" applyBorder="1" applyAlignment="1">
      <alignment horizontal="center"/>
    </xf>
    <xf numFmtId="0" fontId="0" fillId="0" borderId="101" xfId="0" applyBorder="1" applyAlignment="1">
      <alignment horizontal="center"/>
    </xf>
    <xf numFmtId="0" fontId="0" fillId="0" borderId="102" xfId="0" applyBorder="1" applyAlignment="1">
      <alignment horizontal="center"/>
    </xf>
    <xf numFmtId="0" fontId="26" fillId="0" borderId="63" xfId="0" applyFont="1" applyBorder="1" applyAlignment="1"/>
    <xf numFmtId="0" fontId="0" fillId="0" borderId="92" xfId="0" applyFont="1" applyBorder="1"/>
    <xf numFmtId="0" fontId="0" fillId="6" borderId="36" xfId="0" applyFill="1" applyBorder="1" applyAlignment="1" applyProtection="1">
      <alignment horizontal="center" textRotation="90" wrapText="1"/>
      <protection locked="0"/>
    </xf>
    <xf numFmtId="171" fontId="0" fillId="0" borderId="36" xfId="50" applyFont="1" applyFill="1" applyBorder="1" applyAlignment="1" applyProtection="1">
      <alignment vertical="center" shrinkToFit="1"/>
    </xf>
    <xf numFmtId="171" fontId="0" fillId="0" borderId="47" xfId="50" applyFont="1" applyFill="1" applyBorder="1" applyAlignment="1" applyProtection="1">
      <alignment vertical="center" shrinkToFit="1"/>
    </xf>
    <xf numFmtId="171" fontId="0" fillId="0" borderId="48" xfId="50" applyFont="1" applyFill="1" applyBorder="1" applyAlignment="1" applyProtection="1">
      <alignment vertical="center" shrinkToFit="1"/>
    </xf>
    <xf numFmtId="195" fontId="0" fillId="0" borderId="39" xfId="50" applyNumberFormat="1" applyFont="1" applyFill="1" applyBorder="1" applyAlignment="1" applyProtection="1">
      <alignment vertical="center" shrinkToFit="1"/>
    </xf>
    <xf numFmtId="49" fontId="26" fillId="18" borderId="29" xfId="0" applyNumberFormat="1" applyFont="1" applyFill="1" applyBorder="1" applyAlignment="1" applyProtection="1">
      <alignment horizontal="center" vertical="center"/>
    </xf>
    <xf numFmtId="171" fontId="26" fillId="18" borderId="29" xfId="50" applyNumberFormat="1" applyFont="1" applyFill="1" applyBorder="1" applyAlignment="1" applyProtection="1">
      <alignment horizontal="center" vertical="center"/>
    </xf>
    <xf numFmtId="171" fontId="26" fillId="18" borderId="28" xfId="50" applyNumberFormat="1" applyFont="1" applyFill="1" applyBorder="1" applyAlignment="1" applyProtection="1">
      <alignment horizontal="center" vertical="center" shrinkToFit="1"/>
    </xf>
    <xf numFmtId="1" fontId="64" fillId="0" borderId="0" xfId="0" applyNumberFormat="1" applyFont="1" applyAlignment="1">
      <alignment horizontal="center" vertical="center"/>
    </xf>
    <xf numFmtId="196" fontId="0" fillId="0" borderId="29" xfId="0" applyNumberFormat="1" applyFont="1" applyBorder="1" applyAlignment="1" applyProtection="1">
      <alignment horizontal="left"/>
    </xf>
    <xf numFmtId="0" fontId="19" fillId="0" borderId="94" xfId="35" applyFont="1" applyBorder="1" applyAlignment="1" applyProtection="1">
      <alignment vertical="center"/>
    </xf>
    <xf numFmtId="0" fontId="0" fillId="0" borderId="94" xfId="0" applyBorder="1" applyAlignment="1">
      <alignment horizontal="center"/>
    </xf>
    <xf numFmtId="0" fontId="26" fillId="0" borderId="0" xfId="35" applyNumberFormat="1" applyFont="1" applyFill="1" applyBorder="1" applyAlignment="1" applyProtection="1">
      <alignment vertical="top"/>
    </xf>
    <xf numFmtId="0" fontId="48" fillId="0" borderId="94" xfId="36" applyFont="1" applyBorder="1" applyAlignment="1">
      <alignment horizontal="center"/>
    </xf>
    <xf numFmtId="0" fontId="0" fillId="0" borderId="40" xfId="0" applyBorder="1" applyAlignment="1">
      <alignment horizontal="center" vertical="center" wrapText="1"/>
    </xf>
    <xf numFmtId="165" fontId="0" fillId="6" borderId="39" xfId="0" applyNumberFormat="1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left" vertical="center" wrapText="1"/>
    </xf>
    <xf numFmtId="0" fontId="0" fillId="6" borderId="85" xfId="0" applyFill="1" applyBorder="1" applyAlignment="1" applyProtection="1">
      <alignment horizontal="left" vertical="center" wrapText="1"/>
      <protection locked="0"/>
    </xf>
    <xf numFmtId="49" fontId="0" fillId="6" borderId="69" xfId="0" applyNumberFormat="1" applyFill="1" applyBorder="1" applyAlignment="1" applyProtection="1">
      <alignment horizontal="center" vertical="center" wrapText="1"/>
      <protection locked="0"/>
    </xf>
    <xf numFmtId="49" fontId="0" fillId="17" borderId="103" xfId="0" applyNumberFormat="1" applyFont="1" applyFill="1" applyBorder="1" applyAlignment="1" applyProtection="1">
      <alignment horizontal="center" vertical="center"/>
      <protection locked="0"/>
    </xf>
    <xf numFmtId="49" fontId="0" fillId="6" borderId="40" xfId="50" applyNumberFormat="1" applyFont="1" applyFill="1" applyBorder="1" applyAlignment="1" applyProtection="1">
      <alignment horizontal="left" vertical="center" wrapText="1" shrinkToFit="1"/>
      <protection locked="0"/>
    </xf>
    <xf numFmtId="49" fontId="26" fillId="18" borderId="31" xfId="0" applyNumberFormat="1" applyFont="1" applyFill="1" applyBorder="1" applyAlignment="1" applyProtection="1">
      <alignment horizontal="left" vertical="center"/>
    </xf>
    <xf numFmtId="0" fontId="30" fillId="0" borderId="104" xfId="0" applyFont="1" applyBorder="1"/>
    <xf numFmtId="0" fontId="29" fillId="0" borderId="89" xfId="0" applyFont="1" applyBorder="1" applyAlignment="1">
      <alignment horizontal="left" indent="1"/>
    </xf>
    <xf numFmtId="0" fontId="0" fillId="0" borderId="89" xfId="0" applyBorder="1" applyAlignment="1">
      <alignment vertical="center"/>
    </xf>
    <xf numFmtId="171" fontId="0" fillId="0" borderId="40" xfId="50" applyNumberFormat="1" applyFont="1" applyFill="1" applyBorder="1" applyAlignment="1" applyProtection="1">
      <alignment vertical="center" shrinkToFit="1"/>
    </xf>
    <xf numFmtId="171" fontId="26" fillId="18" borderId="70" xfId="50" applyNumberFormat="1" applyFont="1" applyFill="1" applyBorder="1" applyAlignment="1" applyProtection="1">
      <alignment horizontal="center" vertical="center" shrinkToFit="1"/>
    </xf>
    <xf numFmtId="171" fontId="26" fillId="18" borderId="74" xfId="50" applyNumberFormat="1" applyFont="1" applyFill="1" applyBorder="1" applyAlignment="1" applyProtection="1">
      <alignment horizontal="center" vertical="center"/>
    </xf>
    <xf numFmtId="10" fontId="66" fillId="0" borderId="105" xfId="40" applyNumberFormat="1" applyFont="1" applyFill="1" applyBorder="1" applyAlignment="1" applyProtection="1">
      <alignment horizontal="center"/>
      <protection locked="0"/>
    </xf>
    <xf numFmtId="10" fontId="66" fillId="0" borderId="106" xfId="40" applyNumberFormat="1" applyFont="1" applyFill="1" applyBorder="1" applyAlignment="1" applyProtection="1">
      <alignment horizontal="center"/>
      <protection locked="0"/>
    </xf>
    <xf numFmtId="10" fontId="66" fillId="0" borderId="107" xfId="40" applyNumberFormat="1" applyFont="1" applyFill="1" applyBorder="1" applyAlignment="1" applyProtection="1">
      <alignment horizontal="center"/>
      <protection locked="0"/>
    </xf>
    <xf numFmtId="49" fontId="0" fillId="6" borderId="20" xfId="0" applyNumberFormat="1" applyFill="1" applyBorder="1" applyAlignment="1" applyProtection="1">
      <alignment vertical="center"/>
      <protection locked="0"/>
    </xf>
    <xf numFmtId="49" fontId="0" fillId="6" borderId="39" xfId="0" applyNumberFormat="1" applyFill="1" applyBorder="1" applyAlignment="1" applyProtection="1">
      <alignment horizontal="center" vertical="center" wrapText="1"/>
      <protection locked="0"/>
    </xf>
    <xf numFmtId="0" fontId="0" fillId="6" borderId="39" xfId="0" applyNumberFormat="1" applyFill="1" applyBorder="1" applyAlignment="1" applyProtection="1">
      <alignment horizontal="left" vertical="center" wrapText="1"/>
      <protection locked="0"/>
    </xf>
    <xf numFmtId="49" fontId="0" fillId="6" borderId="18" xfId="0" applyNumberFormat="1" applyFill="1" applyBorder="1" applyAlignment="1" applyProtection="1">
      <alignment vertical="center"/>
      <protection locked="0"/>
    </xf>
    <xf numFmtId="0" fontId="0" fillId="6" borderId="18" xfId="0" applyFill="1" applyBorder="1" applyAlignment="1" applyProtection="1">
      <alignment vertical="center"/>
      <protection locked="0"/>
    </xf>
    <xf numFmtId="0" fontId="0" fillId="6" borderId="16" xfId="0" applyFill="1" applyBorder="1" applyAlignment="1" applyProtection="1">
      <alignment vertical="center"/>
      <protection locked="0"/>
    </xf>
    <xf numFmtId="0" fontId="0" fillId="6" borderId="22" xfId="0" applyFill="1" applyBorder="1" applyAlignment="1" applyProtection="1">
      <alignment vertical="center"/>
      <protection locked="0"/>
    </xf>
    <xf numFmtId="49" fontId="0" fillId="6" borderId="108" xfId="0" applyNumberFormat="1" applyFill="1" applyBorder="1" applyAlignment="1" applyProtection="1">
      <alignment vertical="center" wrapText="1"/>
      <protection locked="0"/>
    </xf>
    <xf numFmtId="49" fontId="0" fillId="6" borderId="24" xfId="0" applyNumberFormat="1" applyFill="1" applyBorder="1" applyAlignment="1" applyProtection="1">
      <alignment vertical="center" wrapText="1"/>
      <protection locked="0"/>
    </xf>
    <xf numFmtId="0" fontId="20" fillId="0" borderId="31" xfId="0" applyFont="1" applyFill="1" applyBorder="1" applyAlignment="1">
      <alignment horizontal="center" vertical="center"/>
    </xf>
    <xf numFmtId="0" fontId="21" fillId="21" borderId="0" xfId="0" applyFont="1" applyFill="1" applyAlignment="1">
      <alignment horizontal="center" vertical="center"/>
    </xf>
    <xf numFmtId="0" fontId="14" fillId="0" borderId="109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/>
    </xf>
    <xf numFmtId="0" fontId="14" fillId="0" borderId="109" xfId="0" applyFont="1" applyFill="1" applyBorder="1" applyAlignment="1">
      <alignment horizontal="center" vertical="center"/>
    </xf>
    <xf numFmtId="0" fontId="0" fillId="0" borderId="10" xfId="35" applyFont="1" applyBorder="1" applyAlignment="1" applyProtection="1">
      <alignment horizontal="left" vertical="center"/>
    </xf>
    <xf numFmtId="0" fontId="10" fillId="0" borderId="31" xfId="35" applyFont="1" applyBorder="1" applyAlignment="1" applyProtection="1">
      <alignment horizontal="left" vertical="center" wrapText="1"/>
    </xf>
    <xf numFmtId="49" fontId="0" fillId="6" borderId="31" xfId="35" applyNumberFormat="1" applyFont="1" applyFill="1" applyBorder="1" applyAlignment="1" applyProtection="1">
      <alignment horizontal="left" vertical="top" wrapText="1"/>
      <protection locked="0"/>
    </xf>
    <xf numFmtId="167" fontId="0" fillId="0" borderId="29" xfId="35" applyNumberFormat="1" applyFont="1" applyFill="1" applyBorder="1" applyAlignment="1" applyProtection="1">
      <alignment horizontal="left"/>
    </xf>
    <xf numFmtId="196" fontId="0" fillId="0" borderId="29" xfId="35" applyNumberFormat="1" applyFont="1" applyFill="1" applyBorder="1" applyAlignment="1" applyProtection="1">
      <alignment horizontal="left"/>
    </xf>
    <xf numFmtId="0" fontId="26" fillId="0" borderId="0" xfId="35" applyFont="1" applyBorder="1" applyAlignment="1" applyProtection="1">
      <alignment horizontal="left" vertical="center"/>
    </xf>
    <xf numFmtId="0" fontId="19" fillId="0" borderId="0" xfId="35" applyFont="1" applyBorder="1" applyAlignment="1" applyProtection="1">
      <alignment horizontal="left" vertical="center"/>
    </xf>
    <xf numFmtId="0" fontId="41" fillId="0" borderId="0" xfId="0" applyFont="1" applyBorder="1" applyAlignment="1">
      <alignment horizontal="center" textRotation="90"/>
    </xf>
    <xf numFmtId="0" fontId="0" fillId="0" borderId="0" xfId="35" applyFont="1" applyBorder="1" applyAlignment="1" applyProtection="1">
      <alignment horizontal="center" vertical="center"/>
    </xf>
    <xf numFmtId="0" fontId="0" fillId="0" borderId="31" xfId="35" applyFont="1" applyBorder="1" applyAlignment="1" applyProtection="1">
      <alignment horizontal="center" vertical="center" wrapText="1"/>
    </xf>
    <xf numFmtId="0" fontId="35" fillId="0" borderId="0" xfId="0" applyFont="1" applyBorder="1" applyAlignment="1" applyProtection="1">
      <alignment horizontal="right" vertical="center"/>
    </xf>
    <xf numFmtId="0" fontId="36" fillId="0" borderId="0" xfId="0" applyFont="1" applyBorder="1" applyAlignment="1" applyProtection="1">
      <alignment horizontal="center"/>
    </xf>
    <xf numFmtId="0" fontId="35" fillId="0" borderId="0" xfId="0" applyFont="1" applyBorder="1" applyAlignment="1" applyProtection="1">
      <alignment horizontal="left" vertical="center"/>
    </xf>
    <xf numFmtId="4" fontId="19" fillId="0" borderId="31" xfId="35" applyNumberFormat="1" applyFont="1" applyFill="1" applyBorder="1" applyAlignment="1" applyProtection="1">
      <alignment horizontal="center" vertical="center"/>
    </xf>
    <xf numFmtId="0" fontId="35" fillId="0" borderId="0" xfId="0" applyFont="1" applyBorder="1" applyAlignment="1" applyProtection="1">
      <alignment horizontal="center" vertical="top"/>
    </xf>
    <xf numFmtId="4" fontId="19" fillId="0" borderId="31" xfId="35" applyNumberFormat="1" applyFont="1" applyFill="1" applyBorder="1" applyAlignment="1" applyProtection="1">
      <alignment horizontal="center" vertical="center" wrapText="1"/>
    </xf>
    <xf numFmtId="0" fontId="32" fillId="8" borderId="31" xfId="35" applyFont="1" applyFill="1" applyBorder="1" applyAlignment="1" applyProtection="1">
      <alignment horizontal="center" vertical="center" wrapText="1"/>
    </xf>
    <xf numFmtId="0" fontId="34" fillId="0" borderId="0" xfId="35" applyFont="1" applyBorder="1" applyAlignment="1" applyProtection="1">
      <alignment horizontal="left" vertical="center" indent="1"/>
    </xf>
    <xf numFmtId="0" fontId="26" fillId="0" borderId="30" xfId="37" applyFont="1" applyBorder="1" applyAlignment="1" applyProtection="1">
      <alignment horizontal="left" vertical="top"/>
    </xf>
    <xf numFmtId="164" fontId="10" fillId="17" borderId="14" xfId="33" applyFont="1" applyFill="1" applyBorder="1" applyAlignment="1" applyProtection="1">
      <alignment horizontal="left"/>
      <protection locked="0"/>
    </xf>
    <xf numFmtId="0" fontId="26" fillId="0" borderId="31" xfId="35" applyFont="1" applyFill="1" applyBorder="1" applyAlignment="1" applyProtection="1">
      <alignment horizontal="center" vertical="center"/>
    </xf>
    <xf numFmtId="0" fontId="19" fillId="0" borderId="31" xfId="35" applyFont="1" applyBorder="1" applyAlignment="1" applyProtection="1">
      <alignment horizontal="center" vertical="center"/>
    </xf>
    <xf numFmtId="0" fontId="25" fillId="0" borderId="31" xfId="35" applyFont="1" applyBorder="1" applyAlignment="1" applyProtection="1">
      <alignment horizontal="center"/>
    </xf>
    <xf numFmtId="0" fontId="10" fillId="0" borderId="31" xfId="35" applyFont="1" applyFill="1" applyBorder="1" applyAlignment="1" applyProtection="1">
      <alignment horizontal="left"/>
    </xf>
    <xf numFmtId="10" fontId="10" fillId="6" borderId="31" xfId="35" applyNumberFormat="1" applyFont="1" applyFill="1" applyBorder="1" applyAlignment="1" applyProtection="1">
      <alignment horizontal="center"/>
      <protection locked="0"/>
    </xf>
    <xf numFmtId="0" fontId="10" fillId="0" borderId="14" xfId="33" applyNumberFormat="1" applyFont="1" applyFill="1" applyBorder="1" applyAlignment="1" applyProtection="1">
      <alignment horizontal="left" wrapText="1"/>
    </xf>
    <xf numFmtId="0" fontId="10" fillId="0" borderId="31" xfId="35" applyFont="1" applyFill="1" applyBorder="1" applyAlignment="1" applyProtection="1">
      <alignment horizontal="left" wrapText="1"/>
    </xf>
    <xf numFmtId="0" fontId="0" fillId="0" borderId="14" xfId="35" applyFont="1" applyFill="1" applyBorder="1" applyAlignment="1" applyProtection="1">
      <alignment horizontal="left" vertical="top" wrapText="1"/>
    </xf>
    <xf numFmtId="0" fontId="0" fillId="0" borderId="30" xfId="0" applyFont="1" applyBorder="1" applyAlignment="1" applyProtection="1">
      <alignment horizontal="center"/>
    </xf>
    <xf numFmtId="0" fontId="26" fillId="0" borderId="14" xfId="0" applyFont="1" applyBorder="1" applyAlignment="1" applyProtection="1">
      <alignment horizontal="center"/>
    </xf>
    <xf numFmtId="0" fontId="0" fillId="0" borderId="31" xfId="0" applyFont="1" applyBorder="1" applyAlignment="1">
      <alignment horizontal="center"/>
    </xf>
    <xf numFmtId="0" fontId="26" fillId="0" borderId="32" xfId="37" applyFont="1" applyBorder="1" applyAlignment="1" applyProtection="1">
      <alignment horizontal="left" vertical="top"/>
    </xf>
    <xf numFmtId="0" fontId="65" fillId="0" borderId="0" xfId="0" applyFont="1" applyBorder="1" applyAlignment="1">
      <alignment horizontal="center" textRotation="90" wrapText="1"/>
    </xf>
    <xf numFmtId="0" fontId="26" fillId="0" borderId="12" xfId="0" applyFont="1" applyBorder="1" applyAlignment="1">
      <alignment horizontal="center"/>
    </xf>
    <xf numFmtId="0" fontId="41" fillId="0" borderId="0" xfId="0" applyFont="1" applyBorder="1" applyAlignment="1">
      <alignment horizontal="center" textRotation="90" wrapText="1"/>
    </xf>
    <xf numFmtId="0" fontId="0" fillId="14" borderId="0" xfId="0" applyFont="1" applyFill="1" applyBorder="1" applyAlignment="1">
      <alignment horizontal="left"/>
    </xf>
    <xf numFmtId="0" fontId="0" fillId="0" borderId="46" xfId="35" applyFont="1" applyFill="1" applyBorder="1" applyAlignment="1" applyProtection="1">
      <alignment horizontal="left" vertical="top" wrapText="1"/>
    </xf>
    <xf numFmtId="196" fontId="0" fillId="0" borderId="0" xfId="0" applyNumberFormat="1" applyFont="1" applyBorder="1" applyAlignment="1" applyProtection="1">
      <alignment horizontal="left"/>
    </xf>
    <xf numFmtId="0" fontId="26" fillId="18" borderId="13" xfId="0" applyNumberFormat="1" applyFont="1" applyFill="1" applyBorder="1" applyAlignment="1" applyProtection="1">
      <alignment horizontal="left" vertical="center" wrapText="1"/>
    </xf>
    <xf numFmtId="0" fontId="32" fillId="0" borderId="31" xfId="0" applyFont="1" applyBorder="1" applyAlignment="1" applyProtection="1">
      <alignment horizontal="left" vertical="center"/>
      <protection locked="0"/>
    </xf>
    <xf numFmtId="0" fontId="32" fillId="6" borderId="14" xfId="0" applyFont="1" applyFill="1" applyBorder="1" applyAlignment="1" applyProtection="1">
      <alignment horizontal="left" vertical="top" wrapText="1"/>
      <protection locked="0"/>
    </xf>
    <xf numFmtId="0" fontId="19" fillId="0" borderId="31" xfId="0" applyFont="1" applyFill="1" applyBorder="1" applyAlignment="1" applyProtection="1">
      <alignment horizontal="left" wrapText="1"/>
    </xf>
    <xf numFmtId="167" fontId="0" fillId="0" borderId="29" xfId="0" applyNumberFormat="1" applyFont="1" applyBorder="1" applyAlignment="1" applyProtection="1">
      <alignment horizontal="left"/>
    </xf>
    <xf numFmtId="0" fontId="0" fillId="0" borderId="31" xfId="0" applyFont="1" applyFill="1" applyBorder="1" applyAlignment="1" applyProtection="1">
      <alignment horizontal="left" wrapText="1"/>
    </xf>
    <xf numFmtId="0" fontId="26" fillId="18" borderId="31" xfId="0" applyNumberFormat="1" applyFont="1" applyFill="1" applyBorder="1" applyAlignment="1" applyProtection="1">
      <alignment horizontal="left" vertical="center" wrapText="1"/>
    </xf>
    <xf numFmtId="0" fontId="25" fillId="0" borderId="0" xfId="0" applyFont="1" applyBorder="1" applyAlignment="1">
      <alignment horizontal="left" vertical="center" indent="10"/>
    </xf>
    <xf numFmtId="0" fontId="39" fillId="0" borderId="0" xfId="0" applyFont="1" applyBorder="1" applyAlignment="1">
      <alignment horizontal="left" vertical="center" indent="10"/>
    </xf>
    <xf numFmtId="0" fontId="48" fillId="6" borderId="31" xfId="0" applyFont="1" applyFill="1" applyBorder="1" applyAlignment="1" applyProtection="1">
      <alignment horizontal="left" vertical="center"/>
      <protection locked="0"/>
    </xf>
    <xf numFmtId="0" fontId="0" fillId="17" borderId="109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left" vertical="top" wrapText="1"/>
    </xf>
    <xf numFmtId="0" fontId="14" fillId="0" borderId="31" xfId="0" applyFont="1" applyBorder="1" applyProtection="1"/>
    <xf numFmtId="0" fontId="48" fillId="19" borderId="31" xfId="0" applyFont="1" applyFill="1" applyBorder="1" applyAlignment="1" applyProtection="1">
      <alignment horizontal="left" vertical="center"/>
    </xf>
    <xf numFmtId="0" fontId="0" fillId="0" borderId="39" xfId="0" applyBorder="1" applyAlignment="1">
      <alignment horizontal="left"/>
    </xf>
    <xf numFmtId="10" fontId="58" fillId="0" borderId="33" xfId="39" applyNumberFormat="1" applyFill="1" applyBorder="1" applyAlignment="1" applyProtection="1">
      <alignment horizontal="center"/>
    </xf>
    <xf numFmtId="14" fontId="0" fillId="6" borderId="47" xfId="0" applyNumberFormat="1" applyFill="1" applyBorder="1" applyAlignment="1" applyProtection="1">
      <alignment horizontal="center"/>
      <protection locked="0"/>
    </xf>
    <xf numFmtId="176" fontId="26" fillId="8" borderId="31" xfId="0" applyNumberFormat="1" applyFont="1" applyFill="1" applyBorder="1" applyAlignment="1">
      <alignment horizontal="center" shrinkToFit="1"/>
    </xf>
    <xf numFmtId="10" fontId="58" fillId="0" borderId="81" xfId="39" applyNumberFormat="1" applyFill="1" applyBorder="1" applyAlignment="1" applyProtection="1">
      <alignment horizontal="center"/>
    </xf>
    <xf numFmtId="14" fontId="0" fillId="6" borderId="36" xfId="0" applyNumberFormat="1" applyFill="1" applyBorder="1" applyAlignment="1" applyProtection="1">
      <alignment horizontal="center"/>
      <protection locked="0"/>
    </xf>
    <xf numFmtId="0" fontId="26" fillId="0" borderId="31" xfId="0" applyFont="1" applyBorder="1" applyAlignment="1">
      <alignment horizontal="right" vertical="center"/>
    </xf>
    <xf numFmtId="10" fontId="58" fillId="0" borderId="10" xfId="39" applyNumberFormat="1" applyFill="1" applyBorder="1" applyAlignment="1" applyProtection="1">
      <alignment horizontal="center"/>
    </xf>
    <xf numFmtId="177" fontId="58" fillId="0" borderId="29" xfId="50" applyNumberFormat="1" applyFill="1" applyBorder="1" applyAlignment="1" applyProtection="1">
      <alignment horizontal="center" shrinkToFit="1"/>
    </xf>
    <xf numFmtId="177" fontId="58" fillId="0" borderId="14" xfId="50" applyNumberFormat="1" applyFill="1" applyBorder="1" applyAlignment="1" applyProtection="1">
      <alignment horizontal="center" shrinkToFit="1"/>
    </xf>
    <xf numFmtId="10" fontId="58" fillId="0" borderId="30" xfId="39" applyNumberFormat="1" applyFill="1" applyBorder="1" applyAlignment="1" applyProtection="1">
      <alignment horizontal="center"/>
    </xf>
    <xf numFmtId="10" fontId="58" fillId="0" borderId="0" xfId="39" applyNumberFormat="1" applyFill="1" applyBorder="1" applyAlignment="1" applyProtection="1">
      <alignment horizontal="center"/>
    </xf>
    <xf numFmtId="177" fontId="58" fillId="0" borderId="46" xfId="50" applyNumberFormat="1" applyFill="1" applyBorder="1" applyAlignment="1" applyProtection="1">
      <alignment horizontal="center" shrinkToFit="1"/>
    </xf>
    <xf numFmtId="10" fontId="58" fillId="0" borderId="32" xfId="39" applyNumberFormat="1" applyFill="1" applyBorder="1" applyAlignment="1" applyProtection="1">
      <alignment horizontal="center"/>
    </xf>
    <xf numFmtId="0" fontId="48" fillId="0" borderId="14" xfId="36" applyNumberFormat="1" applyFont="1" applyBorder="1" applyAlignment="1">
      <alignment horizontal="center"/>
    </xf>
    <xf numFmtId="14" fontId="0" fillId="6" borderId="48" xfId="0" applyNumberFormat="1" applyFill="1" applyBorder="1" applyAlignment="1" applyProtection="1">
      <alignment horizontal="center"/>
      <protection locked="0"/>
    </xf>
    <xf numFmtId="0" fontId="48" fillId="0" borderId="14" xfId="36" applyFont="1" applyBorder="1" applyAlignment="1">
      <alignment horizontal="left"/>
    </xf>
    <xf numFmtId="10" fontId="25" fillId="0" borderId="14" xfId="39" applyNumberFormat="1" applyFont="1" applyFill="1" applyBorder="1" applyAlignment="1" applyProtection="1">
      <alignment horizontal="center"/>
    </xf>
    <xf numFmtId="0" fontId="25" fillId="6" borderId="14" xfId="0" applyFont="1" applyFill="1" applyBorder="1" applyAlignment="1" applyProtection="1">
      <alignment horizontal="center"/>
      <protection locked="0"/>
    </xf>
    <xf numFmtId="0" fontId="25" fillId="0" borderId="14" xfId="0" applyFont="1" applyBorder="1" applyAlignment="1">
      <alignment horizontal="center"/>
    </xf>
    <xf numFmtId="0" fontId="26" fillId="8" borderId="31" xfId="0" applyFont="1" applyFill="1" applyBorder="1" applyAlignment="1">
      <alignment horizontal="center"/>
    </xf>
    <xf numFmtId="0" fontId="26" fillId="8" borderId="1" xfId="0" applyFont="1" applyFill="1" applyBorder="1" applyAlignment="1">
      <alignment horizontal="center" wrapText="1"/>
    </xf>
    <xf numFmtId="0" fontId="0" fillId="19" borderId="39" xfId="0" applyFont="1" applyFill="1" applyBorder="1"/>
    <xf numFmtId="0" fontId="51" fillId="0" borderId="30" xfId="36" applyFont="1" applyBorder="1" applyAlignment="1">
      <alignment horizontal="center"/>
    </xf>
    <xf numFmtId="165" fontId="0" fillId="0" borderId="14" xfId="51" applyFont="1" applyFill="1" applyBorder="1" applyAlignment="1" applyProtection="1">
      <alignment horizontal="left"/>
    </xf>
    <xf numFmtId="0" fontId="63" fillId="0" borderId="110" xfId="0" applyFont="1" applyBorder="1" applyAlignment="1">
      <alignment horizontal="center" vertical="top" wrapText="1"/>
    </xf>
    <xf numFmtId="0" fontId="52" fillId="0" borderId="11" xfId="36" applyFont="1" applyBorder="1" applyAlignment="1">
      <alignment horizontal="left" vertical="top"/>
    </xf>
    <xf numFmtId="0" fontId="48" fillId="0" borderId="31" xfId="36" applyFont="1" applyBorder="1" applyAlignment="1">
      <alignment horizontal="center" wrapText="1"/>
    </xf>
    <xf numFmtId="0" fontId="51" fillId="0" borderId="13" xfId="36" applyFont="1" applyBorder="1" applyAlignment="1">
      <alignment horizontal="center" vertical="center" wrapText="1"/>
    </xf>
    <xf numFmtId="0" fontId="51" fillId="0" borderId="44" xfId="36" applyFont="1" applyBorder="1" applyAlignment="1">
      <alignment horizontal="left" vertical="center" wrapText="1"/>
    </xf>
    <xf numFmtId="196" fontId="0" fillId="0" borderId="29" xfId="0" applyNumberFormat="1" applyFont="1" applyBorder="1" applyAlignment="1" applyProtection="1">
      <alignment horizontal="left"/>
    </xf>
    <xf numFmtId="0" fontId="48" fillId="0" borderId="46" xfId="36" applyFont="1" applyBorder="1" applyAlignment="1">
      <alignment horizontal="left"/>
    </xf>
    <xf numFmtId="165" fontId="26" fillId="0" borderId="45" xfId="51" applyFont="1" applyFill="1" applyBorder="1" applyAlignment="1" applyProtection="1">
      <alignment horizontal="center" vertical="center" wrapText="1"/>
    </xf>
    <xf numFmtId="173" fontId="26" fillId="0" borderId="31" xfId="50" applyNumberFormat="1" applyFont="1" applyFill="1" applyBorder="1" applyAlignment="1" applyProtection="1">
      <alignment horizontal="center" vertical="center"/>
    </xf>
    <xf numFmtId="0" fontId="48" fillId="0" borderId="0" xfId="36" applyFont="1" applyBorder="1" applyAlignment="1">
      <alignment horizontal="center" wrapText="1"/>
    </xf>
    <xf numFmtId="0" fontId="24" fillId="0" borderId="29" xfId="36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26" fillId="8" borderId="45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wrapText="1"/>
    </xf>
    <xf numFmtId="0" fontId="55" fillId="0" borderId="13" xfId="0" applyFont="1" applyBorder="1" applyAlignment="1" applyProtection="1">
      <alignment horizontal="center" vertical="center" wrapText="1"/>
    </xf>
    <xf numFmtId="4" fontId="26" fillId="0" borderId="32" xfId="0" applyNumberFormat="1" applyFont="1" applyBorder="1" applyAlignment="1">
      <alignment horizontal="left"/>
    </xf>
    <xf numFmtId="0" fontId="26" fillId="0" borderId="30" xfId="37" applyFont="1" applyBorder="1" applyAlignment="1" applyProtection="1">
      <alignment horizontal="center"/>
    </xf>
    <xf numFmtId="49" fontId="0" fillId="0" borderId="46" xfId="0" applyNumberFormat="1" applyBorder="1" applyAlignment="1">
      <alignment horizontal="left"/>
    </xf>
    <xf numFmtId="0" fontId="0" fillId="6" borderId="0" xfId="35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Border="1" applyAlignment="1">
      <alignment horizontal="left"/>
    </xf>
    <xf numFmtId="0" fontId="19" fillId="0" borderId="29" xfId="35" applyFont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left" wrapText="1"/>
    </xf>
    <xf numFmtId="171" fontId="26" fillId="8" borderId="14" xfId="50" applyNumberFormat="1" applyFont="1" applyFill="1" applyBorder="1" applyAlignment="1" applyProtection="1">
      <alignment horizontal="center" vertical="center" shrinkToFit="1"/>
    </xf>
    <xf numFmtId="0" fontId="32" fillId="0" borderId="30" xfId="0" applyFont="1" applyBorder="1" applyAlignment="1" applyProtection="1">
      <alignment horizontal="left" vertical="center"/>
    </xf>
    <xf numFmtId="0" fontId="0" fillId="0" borderId="30" xfId="0" applyFont="1" applyBorder="1" applyAlignment="1">
      <alignment horizontal="left"/>
    </xf>
    <xf numFmtId="0" fontId="0" fillId="6" borderId="14" xfId="0" applyFill="1" applyBorder="1" applyAlignment="1" applyProtection="1">
      <alignment horizontal="left" vertical="top"/>
      <protection locked="0"/>
    </xf>
    <xf numFmtId="0" fontId="26" fillId="18" borderId="46" xfId="0" applyNumberFormat="1" applyFont="1" applyFill="1" applyBorder="1" applyAlignment="1" applyProtection="1">
      <alignment horizontal="left" vertical="center" wrapText="1"/>
    </xf>
    <xf numFmtId="0" fontId="26" fillId="8" borderId="31" xfId="0" applyFont="1" applyFill="1" applyBorder="1" applyAlignment="1" applyProtection="1">
      <alignment horizontal="center"/>
    </xf>
    <xf numFmtId="0" fontId="26" fillId="0" borderId="14" xfId="0" applyFont="1" applyBorder="1" applyAlignment="1">
      <alignment horizontal="center"/>
    </xf>
    <xf numFmtId="0" fontId="26" fillId="0" borderId="14" xfId="0" applyFont="1" applyFill="1" applyBorder="1" applyAlignment="1">
      <alignment horizontal="center"/>
    </xf>
    <xf numFmtId="0" fontId="25" fillId="6" borderId="32" xfId="0" applyFont="1" applyFill="1" applyBorder="1" applyAlignment="1">
      <alignment horizontal="left"/>
    </xf>
    <xf numFmtId="0" fontId="33" fillId="0" borderId="0" xfId="0" applyFont="1" applyBorder="1" applyAlignment="1">
      <alignment horizontal="right" vertical="center" wrapText="1"/>
    </xf>
    <xf numFmtId="165" fontId="25" fillId="0" borderId="0" xfId="0" applyNumberFormat="1" applyFont="1" applyBorder="1" applyAlignment="1">
      <alignment horizontal="right" vertical="top"/>
    </xf>
    <xf numFmtId="0" fontId="0" fillId="0" borderId="14" xfId="0" applyNumberFormat="1" applyBorder="1" applyAlignment="1">
      <alignment horizontal="center"/>
    </xf>
    <xf numFmtId="0" fontId="26" fillId="0" borderId="32" xfId="37" applyFont="1" applyBorder="1" applyAlignment="1" applyProtection="1">
      <alignment horizontal="center"/>
    </xf>
    <xf numFmtId="0" fontId="26" fillId="0" borderId="0" xfId="37" applyFont="1" applyBorder="1" applyAlignment="1" applyProtection="1">
      <alignment horizontal="center"/>
    </xf>
    <xf numFmtId="0" fontId="26" fillId="0" borderId="12" xfId="37" applyFont="1" applyBorder="1" applyAlignment="1" applyProtection="1">
      <alignment horizontal="center"/>
    </xf>
    <xf numFmtId="0" fontId="32" fillId="6" borderId="32" xfId="0" applyFont="1" applyFill="1" applyBorder="1" applyAlignment="1" applyProtection="1">
      <alignment horizontal="left" vertical="top" wrapText="1"/>
      <protection locked="0"/>
    </xf>
    <xf numFmtId="0" fontId="32" fillId="6" borderId="0" xfId="0" applyFont="1" applyFill="1" applyBorder="1" applyAlignment="1" applyProtection="1">
      <alignment horizontal="left" vertical="top" wrapText="1"/>
      <protection locked="0"/>
    </xf>
    <xf numFmtId="0" fontId="32" fillId="6" borderId="12" xfId="0" applyFont="1" applyFill="1" applyBorder="1" applyAlignment="1" applyProtection="1">
      <alignment horizontal="left" vertical="top" wrapText="1"/>
      <protection locked="0"/>
    </xf>
    <xf numFmtId="0" fontId="32" fillId="6" borderId="46" xfId="0" applyFont="1" applyFill="1" applyBorder="1" applyAlignment="1" applyProtection="1">
      <alignment horizontal="left" vertical="top" wrapText="1"/>
      <protection locked="0"/>
    </xf>
    <xf numFmtId="0" fontId="32" fillId="6" borderId="29" xfId="0" applyFont="1" applyFill="1" applyBorder="1" applyAlignment="1" applyProtection="1">
      <alignment horizontal="left" vertical="top" wrapText="1"/>
      <protection locked="0"/>
    </xf>
    <xf numFmtId="0" fontId="32" fillId="6" borderId="28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/>
    </xf>
    <xf numFmtId="0" fontId="0" fillId="8" borderId="83" xfId="0" applyFont="1" applyFill="1" applyBorder="1" applyAlignment="1">
      <alignment horizontal="center" vertical="center"/>
    </xf>
    <xf numFmtId="0" fontId="0" fillId="8" borderId="66" xfId="0" applyFont="1" applyFill="1" applyBorder="1" applyAlignment="1">
      <alignment horizontal="center" vertical="center"/>
    </xf>
    <xf numFmtId="10" fontId="26" fillId="8" borderId="31" xfId="0" applyNumberFormat="1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68" xfId="0" applyFont="1" applyFill="1" applyBorder="1" applyAlignment="1">
      <alignment horizontal="center" vertical="center"/>
    </xf>
    <xf numFmtId="0" fontId="0" fillId="8" borderId="41" xfId="0" applyFont="1" applyFill="1" applyBorder="1" applyAlignment="1">
      <alignment horizontal="center" vertical="center"/>
    </xf>
    <xf numFmtId="0" fontId="0" fillId="8" borderId="68" xfId="0" applyFont="1" applyFill="1" applyBorder="1" applyAlignment="1">
      <alignment horizontal="center" vertical="center"/>
    </xf>
    <xf numFmtId="0" fontId="0" fillId="0" borderId="86" xfId="0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0" fontId="19" fillId="8" borderId="31" xfId="0" applyFont="1" applyFill="1" applyBorder="1" applyAlignment="1">
      <alignment horizontal="center" vertical="center"/>
    </xf>
    <xf numFmtId="0" fontId="19" fillId="8" borderId="45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right"/>
    </xf>
    <xf numFmtId="0" fontId="26" fillId="0" borderId="31" xfId="0" applyFont="1" applyBorder="1" applyAlignment="1">
      <alignment horizontal="center"/>
    </xf>
    <xf numFmtId="0" fontId="26" fillId="0" borderId="63" xfId="0" applyFont="1" applyBorder="1" applyAlignment="1">
      <alignment horizontal="center"/>
    </xf>
    <xf numFmtId="0" fontId="26" fillId="0" borderId="31" xfId="0" applyFont="1" applyBorder="1" applyAlignment="1">
      <alignment horizontal="center" vertical="center"/>
    </xf>
    <xf numFmtId="49" fontId="0" fillId="0" borderId="14" xfId="0" applyNumberFormat="1" applyBorder="1" applyAlignment="1">
      <alignment horizontal="left"/>
    </xf>
    <xf numFmtId="0" fontId="26" fillId="0" borderId="33" xfId="0" applyFont="1" applyBorder="1" applyAlignment="1" applyProtection="1">
      <alignment horizontal="center"/>
    </xf>
    <xf numFmtId="0" fontId="55" fillId="0" borderId="31" xfId="0" applyFont="1" applyBorder="1" applyAlignment="1" applyProtection="1">
      <alignment horizontal="center" vertical="center" wrapText="1"/>
    </xf>
    <xf numFmtId="4" fontId="26" fillId="0" borderId="30" xfId="0" applyNumberFormat="1" applyFont="1" applyBorder="1" applyAlignment="1">
      <alignment horizontal="left"/>
    </xf>
    <xf numFmtId="0" fontId="0" fillId="0" borderId="0" xfId="35" applyNumberFormat="1" applyFont="1" applyFill="1" applyBorder="1" applyAlignment="1" applyProtection="1">
      <alignment horizontal="left" vertical="top"/>
    </xf>
    <xf numFmtId="0" fontId="0" fillId="0" borderId="38" xfId="35" applyFont="1" applyBorder="1" applyAlignment="1" applyProtection="1">
      <alignment horizontal="right"/>
    </xf>
    <xf numFmtId="180" fontId="26" fillId="0" borderId="40" xfId="50" applyNumberFormat="1" applyFont="1" applyFill="1" applyBorder="1" applyAlignment="1" applyProtection="1">
      <alignment vertical="top" shrinkToFit="1"/>
    </xf>
    <xf numFmtId="0" fontId="0" fillId="0" borderId="0" xfId="0" applyFont="1"/>
    <xf numFmtId="0" fontId="0" fillId="0" borderId="73" xfId="35" applyFont="1" applyBorder="1" applyAlignment="1" applyProtection="1">
      <alignment horizontal="right"/>
    </xf>
    <xf numFmtId="10" fontId="26" fillId="0" borderId="74" xfId="39" applyNumberFormat="1" applyFont="1" applyFill="1" applyBorder="1" applyAlignment="1" applyProtection="1">
      <alignment horizontal="right" vertical="top" shrinkToFit="1"/>
    </xf>
    <xf numFmtId="0" fontId="0" fillId="6" borderId="0" xfId="35" applyFont="1" applyFill="1" applyBorder="1" applyAlignment="1" applyProtection="1">
      <alignment horizontal="left" vertical="top" wrapText="1"/>
      <protection locked="0"/>
    </xf>
    <xf numFmtId="0" fontId="0" fillId="0" borderId="53" xfId="35" applyFont="1" applyFill="1" applyBorder="1" applyAlignment="1" applyProtection="1">
      <alignment horizontal="center" vertical="center" wrapText="1"/>
    </xf>
    <xf numFmtId="0" fontId="0" fillId="0" borderId="67" xfId="35" applyFont="1" applyBorder="1" applyAlignment="1" applyProtection="1">
      <alignment horizontal="center" vertical="center" wrapText="1"/>
    </xf>
    <xf numFmtId="0" fontId="0" fillId="0" borderId="0" xfId="35" applyFont="1" applyBorder="1" applyAlignment="1" applyProtection="1">
      <alignment horizontal="left" vertical="top" wrapText="1"/>
    </xf>
    <xf numFmtId="0" fontId="0" fillId="0" borderId="52" xfId="35" applyFont="1" applyBorder="1" applyAlignment="1" applyProtection="1">
      <alignment horizontal="center"/>
    </xf>
    <xf numFmtId="0" fontId="0" fillId="0" borderId="0" xfId="35" applyFont="1" applyFill="1" applyBorder="1" applyAlignment="1" applyProtection="1">
      <alignment horizontal="left" wrapText="1"/>
    </xf>
    <xf numFmtId="0" fontId="0" fillId="0" borderId="0" xfId="35" applyNumberFormat="1" applyFont="1" applyFill="1" applyBorder="1" applyAlignment="1" applyProtection="1">
      <alignment vertical="center"/>
    </xf>
    <xf numFmtId="0" fontId="0" fillId="6" borderId="0" xfId="35" applyFont="1" applyFill="1" applyBorder="1" applyAlignment="1" applyProtection="1">
      <alignment horizontal="left" vertical="top"/>
      <protection locked="0"/>
    </xf>
    <xf numFmtId="0" fontId="0" fillId="0" borderId="0" xfId="35" applyFont="1" applyFill="1" applyBorder="1" applyAlignment="1" applyProtection="1">
      <alignment horizontal="left"/>
    </xf>
    <xf numFmtId="0" fontId="0" fillId="0" borderId="0" xfId="35" applyFont="1" applyFill="1" applyBorder="1" applyAlignment="1" applyProtection="1">
      <alignment horizontal="left" vertical="top" wrapText="1" shrinkToFit="1"/>
    </xf>
    <xf numFmtId="0" fontId="0" fillId="0" borderId="0" xfId="35" applyNumberFormat="1" applyFont="1" applyFill="1" applyBorder="1" applyAlignment="1" applyProtection="1">
      <alignment horizontal="left" vertical="top" wrapText="1"/>
    </xf>
    <xf numFmtId="0" fontId="26" fillId="8" borderId="111" xfId="0" applyFont="1" applyFill="1" applyBorder="1" applyAlignment="1">
      <alignment horizontal="center" vertical="center" wrapText="1"/>
    </xf>
    <xf numFmtId="0" fontId="26" fillId="8" borderId="112" xfId="0" applyFont="1" applyFill="1" applyBorder="1" applyAlignment="1">
      <alignment horizontal="center" vertical="center" wrapText="1"/>
    </xf>
    <xf numFmtId="49" fontId="0" fillId="6" borderId="0" xfId="35" applyNumberFormat="1" applyFont="1" applyFill="1" applyBorder="1" applyAlignment="1" applyProtection="1">
      <alignment horizontal="left"/>
      <protection locked="0"/>
    </xf>
    <xf numFmtId="168" fontId="0" fillId="0" borderId="0" xfId="35" applyNumberFormat="1" applyFont="1" applyFill="1" applyBorder="1" applyAlignment="1" applyProtection="1">
      <alignment horizontal="right"/>
    </xf>
    <xf numFmtId="0" fontId="0" fillId="0" borderId="0" xfId="35" applyFont="1" applyBorder="1" applyAlignment="1" applyProtection="1">
      <alignment horizontal="center"/>
    </xf>
    <xf numFmtId="171" fontId="26" fillId="8" borderId="113" xfId="50" applyFont="1" applyFill="1" applyBorder="1" applyAlignment="1" applyProtection="1">
      <alignment horizontal="center" vertical="center"/>
    </xf>
    <xf numFmtId="171" fontId="26" fillId="8" borderId="114" xfId="50" applyFont="1" applyFill="1" applyBorder="1" applyAlignment="1" applyProtection="1">
      <alignment horizontal="center" vertical="center"/>
    </xf>
    <xf numFmtId="0" fontId="26" fillId="8" borderId="115" xfId="0" applyFont="1" applyFill="1" applyBorder="1" applyAlignment="1">
      <alignment horizontal="center" vertical="center" wrapText="1"/>
    </xf>
    <xf numFmtId="0" fontId="26" fillId="8" borderId="86" xfId="0" applyFont="1" applyFill="1" applyBorder="1" applyAlignment="1">
      <alignment horizontal="center" vertical="center" wrapText="1"/>
    </xf>
  </cellXfs>
  <cellStyles count="53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Hiperlink" xfId="30" builtinId="8"/>
    <cellStyle name="Incorreto" xfId="31" builtinId="27" customBuiltin="1"/>
    <cellStyle name="Moeda" xfId="32" builtinId="4"/>
    <cellStyle name="Moeda_Composicao BDI v2.1" xfId="33"/>
    <cellStyle name="Neutra" xfId="34" builtinId="28" customBuiltin="1"/>
    <cellStyle name="Normal" xfId="0" builtinId="0"/>
    <cellStyle name="Normal 2" xfId="35"/>
    <cellStyle name="Normal 3" xfId="36"/>
    <cellStyle name="Normal_FICHA DE VERIFICAÇÃO PRELIMINAR - Plano R" xfId="37"/>
    <cellStyle name="Nota" xfId="38" builtinId="10" customBuiltin="1"/>
    <cellStyle name="Porcentagem" xfId="39" builtinId="5"/>
    <cellStyle name="Porcentagem 2" xfId="40"/>
    <cellStyle name="Saída" xfId="41" builtinId="21" customBuiltin="1"/>
    <cellStyle name="Texto de Aviso" xfId="42" builtinId="11" customBuiltin="1"/>
    <cellStyle name="Texto Explicativo" xfId="43" builtinId="53" customBuiltin="1"/>
    <cellStyle name="Título 1" xfId="44" builtinId="16" customBuiltin="1"/>
    <cellStyle name="Título 2" xfId="45" builtinId="17" customBuiltin="1"/>
    <cellStyle name="Título 3" xfId="46" builtinId="18" customBuiltin="1"/>
    <cellStyle name="Título 4" xfId="47" builtinId="19" customBuiltin="1"/>
    <cellStyle name="Título 5" xfId="48"/>
    <cellStyle name="Total" xfId="49" builtinId="25" customBuiltin="1"/>
    <cellStyle name="Vírgula" xfId="50" builtinId="3"/>
    <cellStyle name="Vírgula 2" xfId="51"/>
    <cellStyle name="Vírgula 3 2" xfId="52"/>
  </cellStyles>
  <dxfs count="340"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ill>
        <patternFill patternType="solid">
          <fgColor indexed="13"/>
          <bgColor indexed="51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 val="0"/>
        <condense val="0"/>
        <extend val="0"/>
        <color indexed="9"/>
      </font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color theme="0"/>
      </font>
      <border>
        <left/>
        <right/>
      </border>
    </dxf>
    <dxf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color theme="0"/>
      </font>
      <border>
        <left/>
        <right/>
      </border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9"/>
      </font>
      <border>
        <left/>
      </border>
    </dxf>
    <dxf>
      <font>
        <b val="0"/>
        <condense val="0"/>
        <extend val="0"/>
        <color indexed="44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44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ill>
        <patternFill patternType="solid">
          <fgColor indexed="26"/>
          <bgColor indexed="43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border>
        <left/>
        <right style="thin">
          <color indexed="64"/>
        </right>
      </border>
    </dxf>
    <dxf>
      <fill>
        <patternFill>
          <bgColor rgb="FFFFC000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border>
        <left/>
        <right style="thin">
          <color indexed="64"/>
        </right>
      </border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ill>
        <patternFill>
          <bgColor rgb="FFFFC000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border>
        <top style="thin">
          <color indexed="64"/>
        </top>
      </border>
    </dxf>
    <dxf>
      <border>
        <left style="thin">
          <color indexed="8"/>
        </left>
        <right style="thin">
          <color indexed="8"/>
        </right>
        <top/>
        <bottom/>
      </border>
    </dxf>
    <dxf>
      <font>
        <b/>
        <i val="0"/>
        <condense val="0"/>
        <extend val="0"/>
        <color indexed="10"/>
      </font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</dxf>
    <dxf>
      <font>
        <b val="0"/>
        <condense val="0"/>
        <extend val="0"/>
        <color indexed="17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condense val="0"/>
        <extend val="0"/>
        <color indexed="1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 style="thin">
          <color indexed="64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10"/>
      </font>
    </dxf>
    <dxf>
      <font>
        <color rgb="FFC0C0C0"/>
      </font>
      <fill>
        <patternFill>
          <bgColor rgb="FFC0C0C0"/>
        </patternFill>
      </fill>
      <border>
        <left/>
        <right/>
        <top/>
        <bottom/>
      </border>
    </dxf>
    <dxf>
      <font>
        <color rgb="FFC0C0C0"/>
      </font>
      <fill>
        <patternFill>
          <bgColor rgb="FFC0C0C0"/>
        </patternFill>
      </fill>
      <border>
        <left/>
        <right/>
        <top/>
        <bottom/>
      </border>
    </dxf>
    <dxf>
      <font>
        <color rgb="FFC0C0C0"/>
      </font>
      <fill>
        <patternFill>
          <bgColor rgb="FFC0C0C0"/>
        </patternFill>
      </fill>
      <border>
        <left/>
        <right/>
        <top/>
        <bottom/>
      </border>
    </dxf>
    <dxf>
      <font>
        <color rgb="FFC0C0C0"/>
      </font>
      <fill>
        <patternFill>
          <bgColor rgb="FFC0C0C0"/>
        </patternFill>
      </fill>
      <border>
        <left/>
        <right/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2F2FF"/>
      <rgbColor rgb="00DFDFDF"/>
      <rgbColor rgb="00FFFF99"/>
      <rgbColor rgb="00BFBFBF"/>
      <rgbColor rgb="00FF99CC"/>
      <rgbColor rgb="00A7A7A7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Drop" dropStyle="combo" dx="22" fmlaLink="$O$4" fmlaRange="$J$7:$J$8" noThreeD="1" sel="1" val="0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Drop" dropStyle="combo" dx="22" fmlaLink="$O$3" fmlaRange="$J$5:$J$6" noThreeD="1" sel="1" val="0"/>
</file>

<file path=xl/ctrlProps/ctrlProp5.xml><?xml version="1.0" encoding="utf-8"?>
<formControlPr xmlns="http://schemas.microsoft.com/office/spreadsheetml/2009/9/main" objectType="CheckBox" checked="Checked" fmlaLink="$AF$7"/>
</file>

<file path=xl/ctrlProps/ctrlProp6.xml><?xml version="1.0" encoding="utf-8"?>
<formControlPr xmlns="http://schemas.microsoft.com/office/spreadsheetml/2009/9/main" objectType="CheckBox" fmlaLink="$AF$8"/>
</file>

<file path=xl/ctrlProps/ctrlProp7.xml><?xml version="1.0" encoding="utf-8"?>
<formControlPr xmlns="http://schemas.microsoft.com/office/spreadsheetml/2009/9/main" objectType="CheckBox" checked="Checked" fmlaLink="$AF$9"/>
</file>

<file path=xl/ctrlProps/ctrlProp8.xml><?xml version="1.0" encoding="utf-8"?>
<formControlPr xmlns="http://schemas.microsoft.com/office/spreadsheetml/2009/9/main" objectType="CheckBox" fmlaLink="$AF$10"/>
</file>

<file path=xl/ctrlProps/ctrlProp9.xml><?xml version="1.0" encoding="utf-8"?>
<formControlPr xmlns="http://schemas.microsoft.com/office/spreadsheetml/2009/9/main" objectType="CheckBox" fmlaLink="$AF$11"/>
</file>

<file path=xl/ctrlProps/ctrlProp10.xml><?xml version="1.0" encoding="utf-8"?>
<formControlPr xmlns="http://schemas.microsoft.com/office/spreadsheetml/2009/9/main" objectType="Spin" dx="15" fmlaLink="$J$9" max="30000" min="1" page="10"/>
</file>

<file path=xl/ctrlProps/ctrlProp11.xml><?xml version="1.0" encoding="utf-8"?>
<formControlPr xmlns="http://schemas.microsoft.com/office/spreadsheetml/2009/9/main" objectType="CheckBox" checked="Checked" fmlaLink="$A$9" noThreeD="1"/>
</file>

<file path=xl/ctrlProps/ctrlProp12.xml><?xml version="1.0" encoding="utf-8"?>
<formControlPr xmlns="http://schemas.microsoft.com/office/spreadsheetml/2009/9/main" objectType="Spin" dx="15" fmlaLink="$O$8" max="30000" min="1" page="1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E6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E6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OR&#199;AMENTO!M13"/><Relationship Id="rId2" Type="http://schemas.openxmlformats.org/officeDocument/2006/relationships/hyperlink" Target="#Menu!E6"/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BDI!Q11"/><Relationship Id="rId2" Type="http://schemas.openxmlformats.org/officeDocument/2006/relationships/hyperlink" Target="#Menu!E6"/><Relationship Id="rId1" Type="http://schemas.openxmlformats.org/officeDocument/2006/relationships/image" Target="../media/image2.emf"/><Relationship Id="rId4" Type="http://schemas.openxmlformats.org/officeDocument/2006/relationships/hyperlink" Target="#C&#193;LCULO!D13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EVENTOS!A1"/><Relationship Id="rId2" Type="http://schemas.openxmlformats.org/officeDocument/2006/relationships/hyperlink" Target="#Menu!E6"/><Relationship Id="rId1" Type="http://schemas.openxmlformats.org/officeDocument/2006/relationships/image" Target="../media/image2.emf"/><Relationship Id="rId4" Type="http://schemas.openxmlformats.org/officeDocument/2006/relationships/hyperlink" Target="#OR&#199;AMENTO!M13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&#193;LCULO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C&#193;LCULO!D13"/><Relationship Id="rId2" Type="http://schemas.openxmlformats.org/officeDocument/2006/relationships/hyperlink" Target="#Menu!E6"/><Relationship Id="rId1" Type="http://schemas.openxmlformats.org/officeDocument/2006/relationships/image" Target="../media/image2.emf"/><Relationship Id="rId4" Type="http://schemas.openxmlformats.org/officeDocument/2006/relationships/hyperlink" Target="#RRE!E13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CRONOPLE!B2"/><Relationship Id="rId2" Type="http://schemas.openxmlformats.org/officeDocument/2006/relationships/hyperlink" Target="#Menu!E6"/><Relationship Id="rId1" Type="http://schemas.openxmlformats.org/officeDocument/2006/relationships/image" Target="../media/image2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RONO!E7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Menu!E6"/><Relationship Id="rId1" Type="http://schemas.openxmlformats.org/officeDocument/2006/relationships/image" Target="../media/image2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RRE!E13"/><Relationship Id="rId2" Type="http://schemas.openxmlformats.org/officeDocument/2006/relationships/image" Target="../media/image2.emf"/><Relationship Id="rId1" Type="http://schemas.openxmlformats.org/officeDocument/2006/relationships/hyperlink" Target="#Menu!E6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Of&#237;cio!C6"/><Relationship Id="rId2" Type="http://schemas.openxmlformats.org/officeDocument/2006/relationships/hyperlink" Target="#Menu!E6"/><Relationship Id="rId1" Type="http://schemas.openxmlformats.org/officeDocument/2006/relationships/image" Target="../media/image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RRE!E13"/><Relationship Id="rId1" Type="http://schemas.openxmlformats.org/officeDocument/2006/relationships/hyperlink" Target="#Menu!E6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2028825</xdr:colOff>
      <xdr:row>2</xdr:row>
      <xdr:rowOff>257175</xdr:rowOff>
    </xdr:to>
    <xdr:pic>
      <xdr:nvPicPr>
        <xdr:cNvPr id="81958" name="Imagem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0"/>
          <a:ext cx="2409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9526</xdr:colOff>
      <xdr:row>6</xdr:row>
      <xdr:rowOff>152399</xdr:rowOff>
    </xdr:from>
    <xdr:to>
      <xdr:col>9</xdr:col>
      <xdr:colOff>1114426</xdr:colOff>
      <xdr:row>9</xdr:row>
      <xdr:rowOff>38099</xdr:rowOff>
    </xdr:to>
    <xdr:sp macro="[0]!imprimirPROPOSTA" textlink="" fLocksText="0">
      <xdr:nvSpPr>
        <xdr:cNvPr id="10" name="Bot.ImprimirProposta"/>
        <xdr:cNvSpPr>
          <a:spLocks noChangeArrowheads="1"/>
        </xdr:cNvSpPr>
      </xdr:nvSpPr>
      <xdr:spPr bwMode="auto">
        <a:xfrm>
          <a:off x="9629776" y="1600199"/>
          <a:ext cx="1104900" cy="4857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IMPRIMIR DOCUMENTOS</a:t>
          </a:r>
        </a:p>
      </xdr:txBody>
    </xdr:sp>
    <xdr:clientData/>
  </xdr:twoCellAnchor>
  <xdr:twoCellAnchor>
    <xdr:from>
      <xdr:col>9</xdr:col>
      <xdr:colOff>9525</xdr:colOff>
      <xdr:row>14</xdr:row>
      <xdr:rowOff>152400</xdr:rowOff>
    </xdr:from>
    <xdr:to>
      <xdr:col>9</xdr:col>
      <xdr:colOff>1114425</xdr:colOff>
      <xdr:row>17</xdr:row>
      <xdr:rowOff>38100</xdr:rowOff>
    </xdr:to>
    <xdr:sp macro="[0]!imprimirLICITADO" textlink="" fLocksText="0">
      <xdr:nvSpPr>
        <xdr:cNvPr id="12" name="Bot.ImprimirLicitacao"/>
        <xdr:cNvSpPr>
          <a:spLocks noChangeArrowheads="1"/>
        </xdr:cNvSpPr>
      </xdr:nvSpPr>
      <xdr:spPr bwMode="auto">
        <a:xfrm>
          <a:off x="9629775" y="3228975"/>
          <a:ext cx="1104900" cy="4857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IMPRIMIR DOCUMENTOS</a:t>
          </a:r>
        </a:p>
      </xdr:txBody>
    </xdr:sp>
    <xdr:clientData/>
  </xdr:twoCellAnchor>
  <xdr:twoCellAnchor>
    <xdr:from>
      <xdr:col>9</xdr:col>
      <xdr:colOff>0</xdr:colOff>
      <xdr:row>18</xdr:row>
      <xdr:rowOff>142875</xdr:rowOff>
    </xdr:from>
    <xdr:to>
      <xdr:col>9</xdr:col>
      <xdr:colOff>1104900</xdr:colOff>
      <xdr:row>21</xdr:row>
      <xdr:rowOff>28575</xdr:rowOff>
    </xdr:to>
    <xdr:sp macro="[0]!imprimirMedicao" textlink="" fLocksText="0">
      <xdr:nvSpPr>
        <xdr:cNvPr id="13" name="Bot.ImprimirAcompanhamento"/>
        <xdr:cNvSpPr>
          <a:spLocks noChangeArrowheads="1"/>
        </xdr:cNvSpPr>
      </xdr:nvSpPr>
      <xdr:spPr bwMode="auto">
        <a:xfrm>
          <a:off x="9620250" y="4086225"/>
          <a:ext cx="1104900" cy="4857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IMPRIMIR DOCUMENTOS</a:t>
          </a:r>
        </a:p>
      </xdr:txBody>
    </xdr:sp>
    <xdr:clientData/>
  </xdr:twoCellAnchor>
  <xdr:twoCellAnchor>
    <xdr:from>
      <xdr:col>9</xdr:col>
      <xdr:colOff>9524</xdr:colOff>
      <xdr:row>2</xdr:row>
      <xdr:rowOff>0</xdr:rowOff>
    </xdr:from>
    <xdr:to>
      <xdr:col>11</xdr:col>
      <xdr:colOff>47625</xdr:colOff>
      <xdr:row>5</xdr:row>
      <xdr:rowOff>66675</xdr:rowOff>
    </xdr:to>
    <xdr:sp macro="[0]!Importar" textlink="" fLocksText="0">
      <xdr:nvSpPr>
        <xdr:cNvPr id="14" name="Bot.Importar"/>
        <xdr:cNvSpPr>
          <a:spLocks noChangeArrowheads="1"/>
        </xdr:cNvSpPr>
      </xdr:nvSpPr>
      <xdr:spPr bwMode="auto">
        <a:xfrm>
          <a:off x="9629774" y="476250"/>
          <a:ext cx="1504951" cy="7715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IMPORTAR DE OUTRA PLANILHA MÚLTIPLA (A PARTIR DA VERSÃO 3)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4</xdr:row>
          <xdr:rowOff>0</xdr:rowOff>
        </xdr:from>
        <xdr:to>
          <xdr:col>2</xdr:col>
          <xdr:colOff>1228725</xdr:colOff>
          <xdr:row>6</xdr:row>
          <xdr:rowOff>9525</xdr:rowOff>
        </xdr:to>
        <xdr:grpSp>
          <xdr:nvGrpSpPr>
            <xdr:cNvPr id="81963" name="TipoOrçamento"/>
            <xdr:cNvGrpSpPr>
              <a:grpSpLocks/>
            </xdr:cNvGrpSpPr>
          </xdr:nvGrpSpPr>
          <xdr:grpSpPr bwMode="auto">
            <a:xfrm>
              <a:off x="581025" y="971550"/>
              <a:ext cx="1219200" cy="485775"/>
              <a:chOff x="523876" y="971550"/>
              <a:chExt cx="1257300" cy="485775"/>
            </a:xfrm>
          </xdr:grpSpPr>
          <xdr:sp macro="" textlink="">
            <xdr:nvSpPr>
              <xdr:cNvPr id="15377" name="Group Box 17" descr="Tipo de Orçamento          " hidden="1">
                <a:extLst>
                  <a:ext uri="{63B3BB69-23CF-44E3-9099-C40C66FF867C}">
                    <a14:compatExt spid="_x0000_s15377"/>
                  </a:ext>
                </a:extLst>
              </xdr:cNvPr>
              <xdr:cNvSpPr/>
            </xdr:nvSpPr>
            <xdr:spPr bwMode="auto">
              <a:xfrm>
                <a:off x="523876" y="971550"/>
                <a:ext cx="1257300" cy="48577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Tipo de Orçamento          </a:t>
                </a:r>
              </a:p>
            </xdr:txBody>
          </xdr:sp>
          <xdr:sp macro="" textlink="">
            <xdr:nvSpPr>
              <xdr:cNvPr id="15453" name="Drop Down 93" hidden="1">
                <a:extLst>
                  <a:ext uri="{63B3BB69-23CF-44E3-9099-C40C66FF867C}">
                    <a14:compatExt spid="_x0000_s15453"/>
                  </a:ext>
                </a:extLst>
              </xdr:cNvPr>
              <xdr:cNvSpPr/>
            </xdr:nvSpPr>
            <xdr:spPr bwMode="auto">
              <a:xfrm>
                <a:off x="647699" y="1133476"/>
                <a:ext cx="981076" cy="21907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1323975</xdr:colOff>
          <xdr:row>4</xdr:row>
          <xdr:rowOff>0</xdr:rowOff>
        </xdr:from>
        <xdr:to>
          <xdr:col>3</xdr:col>
          <xdr:colOff>19050</xdr:colOff>
          <xdr:row>6</xdr:row>
          <xdr:rowOff>9525</xdr:rowOff>
        </xdr:to>
        <xdr:grpSp>
          <xdr:nvGrpSpPr>
            <xdr:cNvPr id="81964" name="Acompanhamento"/>
            <xdr:cNvGrpSpPr>
              <a:grpSpLocks/>
            </xdr:cNvGrpSpPr>
          </xdr:nvGrpSpPr>
          <xdr:grpSpPr bwMode="auto">
            <a:xfrm>
              <a:off x="1895475" y="971550"/>
              <a:ext cx="1266825" cy="485775"/>
              <a:chOff x="1790700" y="971550"/>
              <a:chExt cx="1304925" cy="485775"/>
            </a:xfrm>
          </xdr:grpSpPr>
          <xdr:sp macro="" textlink="">
            <xdr:nvSpPr>
              <xdr:cNvPr id="15384" name="Group Box 24" hidden="1">
                <a:extLst>
                  <a:ext uri="{63B3BB69-23CF-44E3-9099-C40C66FF867C}">
                    <a14:compatExt spid="_x0000_s15384"/>
                  </a:ext>
                </a:extLst>
              </xdr:cNvPr>
              <xdr:cNvSpPr/>
            </xdr:nvSpPr>
            <xdr:spPr bwMode="auto">
              <a:xfrm>
                <a:off x="1790700" y="971550"/>
                <a:ext cx="1304925" cy="48577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Acompanhamento     </a:t>
                </a:r>
              </a:p>
            </xdr:txBody>
          </xdr:sp>
          <xdr:sp macro="" textlink="">
            <xdr:nvSpPr>
              <xdr:cNvPr id="15454" name="Drop Down 94" hidden="1">
                <a:extLst>
                  <a:ext uri="{63B3BB69-23CF-44E3-9099-C40C66FF867C}">
                    <a14:compatExt spid="_x0000_s15454"/>
                  </a:ext>
                </a:extLst>
              </xdr:cNvPr>
              <xdr:cNvSpPr/>
            </xdr:nvSpPr>
            <xdr:spPr bwMode="auto">
              <a:xfrm>
                <a:off x="1924050" y="1133475"/>
                <a:ext cx="98107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47625</xdr:rowOff>
    </xdr:from>
    <xdr:to>
      <xdr:col>3</xdr:col>
      <xdr:colOff>161925</xdr:colOff>
      <xdr:row>1</xdr:row>
      <xdr:rowOff>152400</xdr:rowOff>
    </xdr:to>
    <xdr:sp macro="" textlink="" fLocksText="0">
      <xdr:nvSpPr>
        <xdr:cNvPr id="2050" name="AutoShape 67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200025" y="47625"/>
          <a:ext cx="1790700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76200</xdr:rowOff>
    </xdr:from>
    <xdr:to>
      <xdr:col>1</xdr:col>
      <xdr:colOff>95250</xdr:colOff>
      <xdr:row>2</xdr:row>
      <xdr:rowOff>57150</xdr:rowOff>
    </xdr:to>
    <xdr:sp macro="" textlink="" fLocksText="0">
      <xdr:nvSpPr>
        <xdr:cNvPr id="3073" name="AutoShape 67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104775" y="76200"/>
          <a:ext cx="571500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0</xdr:row>
      <xdr:rowOff>19050</xdr:rowOff>
    </xdr:from>
    <xdr:to>
      <xdr:col>11</xdr:col>
      <xdr:colOff>390525</xdr:colOff>
      <xdr:row>2</xdr:row>
      <xdr:rowOff>38100</xdr:rowOff>
    </xdr:to>
    <xdr:pic>
      <xdr:nvPicPr>
        <xdr:cNvPr id="79141" name="Logo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9050"/>
          <a:ext cx="17907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279400</xdr:colOff>
      <xdr:row>1</xdr:row>
      <xdr:rowOff>23283</xdr:rowOff>
    </xdr:from>
    <xdr:to>
      <xdr:col>8</xdr:col>
      <xdr:colOff>131234</xdr:colOff>
      <xdr:row>3</xdr:row>
      <xdr:rowOff>8466</xdr:rowOff>
    </xdr:to>
    <xdr:sp macro="" textlink="" fLocksText="0">
      <xdr:nvSpPr>
        <xdr:cNvPr id="4098" name="AutoShape 6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15096067" y="224366"/>
          <a:ext cx="571500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  <xdr:twoCellAnchor>
    <xdr:from>
      <xdr:col>7</xdr:col>
      <xdr:colOff>279399</xdr:colOff>
      <xdr:row>3</xdr:row>
      <xdr:rowOff>57150</xdr:rowOff>
    </xdr:from>
    <xdr:to>
      <xdr:col>8</xdr:col>
      <xdr:colOff>131233</xdr:colOff>
      <xdr:row>5</xdr:row>
      <xdr:rowOff>42333</xdr:rowOff>
    </xdr:to>
    <xdr:sp macro="" textlink="" fLocksText="0">
      <xdr:nvSpPr>
        <xdr:cNvPr id="5" name="AutoShape 67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279399" y="575733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0</xdr:row>
      <xdr:rowOff>19050</xdr:rowOff>
    </xdr:from>
    <xdr:to>
      <xdr:col>15</xdr:col>
      <xdr:colOff>1009650</xdr:colOff>
      <xdr:row>1</xdr:row>
      <xdr:rowOff>171450</xdr:rowOff>
    </xdr:to>
    <xdr:pic>
      <xdr:nvPicPr>
        <xdr:cNvPr id="810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9050"/>
          <a:ext cx="1800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714375</xdr:colOff>
      <xdr:row>8</xdr:row>
      <xdr:rowOff>152400</xdr:rowOff>
    </xdr:from>
    <xdr:to>
      <xdr:col>23</xdr:col>
      <xdr:colOff>1028700</xdr:colOff>
      <xdr:row>11</xdr:row>
      <xdr:rowOff>28575</xdr:rowOff>
    </xdr:to>
    <xdr:sp macro="" textlink="" fLocksText="0">
      <xdr:nvSpPr>
        <xdr:cNvPr id="5127" name="TextBoxArred"/>
        <xdr:cNvSpPr txBox="1">
          <a:spLocks noChangeArrowheads="1"/>
        </xdr:cNvSpPr>
      </xdr:nvSpPr>
      <xdr:spPr bwMode="auto">
        <a:xfrm flipH="1">
          <a:off x="15811500" y="1438275"/>
          <a:ext cx="4686300" cy="361950"/>
        </a:xfrm>
        <a:prstGeom prst="rect">
          <a:avLst/>
        </a:prstGeom>
        <a:noFill/>
        <a:ln w="6480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t"/>
        <a:lstStyle/>
        <a:p>
          <a:pPr algn="ctr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Considerar valores arredondados com (0,00)</a:t>
          </a:r>
        </a:p>
      </xdr:txBody>
    </xdr:sp>
    <xdr:clientData fPrintsWithSheet="0"/>
  </xdr:twoCellAnchor>
  <xdr:twoCellAnchor>
    <xdr:from>
      <xdr:col>12</xdr:col>
      <xdr:colOff>295275</xdr:colOff>
      <xdr:row>0</xdr:row>
      <xdr:rowOff>152400</xdr:rowOff>
    </xdr:from>
    <xdr:to>
      <xdr:col>13</xdr:col>
      <xdr:colOff>285750</xdr:colOff>
      <xdr:row>2</xdr:row>
      <xdr:rowOff>38100</xdr:rowOff>
    </xdr:to>
    <xdr:sp macro="" textlink="" fLocksText="0">
      <xdr:nvSpPr>
        <xdr:cNvPr id="5133" name="AutoShape 6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6905625" y="152400"/>
          <a:ext cx="571500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  <xdr:twoCellAnchor>
    <xdr:from>
      <xdr:col>14</xdr:col>
      <xdr:colOff>28575</xdr:colOff>
      <xdr:row>9</xdr:row>
      <xdr:rowOff>0</xdr:rowOff>
    </xdr:from>
    <xdr:to>
      <xdr:col>15</xdr:col>
      <xdr:colOff>609600</xdr:colOff>
      <xdr:row>10</xdr:row>
      <xdr:rowOff>152400</xdr:rowOff>
    </xdr:to>
    <xdr:sp macro="[0]!Linhas.AddLinha" textlink="" fLocksText="0">
      <xdr:nvSpPr>
        <xdr:cNvPr id="5134" name="AutoShape 67"/>
        <xdr:cNvSpPr>
          <a:spLocks noChangeArrowheads="1"/>
        </xdr:cNvSpPr>
      </xdr:nvSpPr>
      <xdr:spPr bwMode="auto">
        <a:xfrm>
          <a:off x="7800975" y="144780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ADICIONAR LINHAS</a:t>
          </a:r>
        </a:p>
      </xdr:txBody>
    </xdr:sp>
    <xdr:clientData fPrintsWithSheet="0"/>
  </xdr:twoCellAnchor>
  <xdr:twoCellAnchor>
    <xdr:from>
      <xdr:col>17</xdr:col>
      <xdr:colOff>85725</xdr:colOff>
      <xdr:row>9</xdr:row>
      <xdr:rowOff>0</xdr:rowOff>
    </xdr:from>
    <xdr:to>
      <xdr:col>17</xdr:col>
      <xdr:colOff>1514475</xdr:colOff>
      <xdr:row>10</xdr:row>
      <xdr:rowOff>152400</xdr:rowOff>
    </xdr:to>
    <xdr:sp macro="[0]!Descrição.fixar" textlink="" fLocksText="0">
      <xdr:nvSpPr>
        <xdr:cNvPr id="5135" name="AutoShape 67"/>
        <xdr:cNvSpPr>
          <a:spLocks noChangeArrowheads="1"/>
        </xdr:cNvSpPr>
      </xdr:nvSpPr>
      <xdr:spPr bwMode="auto">
        <a:xfrm>
          <a:off x="10801350" y="144780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FIXAR DESCRIÇÕES</a:t>
          </a:r>
        </a:p>
      </xdr:txBody>
    </xdr:sp>
    <xdr:clientData fPrintsWithSheet="0"/>
  </xdr:twoCellAnchor>
  <xdr:twoCellAnchor>
    <xdr:from>
      <xdr:col>15</xdr:col>
      <xdr:colOff>676275</xdr:colOff>
      <xdr:row>9</xdr:row>
      <xdr:rowOff>0</xdr:rowOff>
    </xdr:from>
    <xdr:to>
      <xdr:col>17</xdr:col>
      <xdr:colOff>9525</xdr:colOff>
      <xdr:row>10</xdr:row>
      <xdr:rowOff>152400</xdr:rowOff>
    </xdr:to>
    <xdr:sp macro="[0]!Linhas.ExcLinhas" textlink="" fLocksText="0">
      <xdr:nvSpPr>
        <xdr:cNvPr id="5136" name="AutoShape 67"/>
        <xdr:cNvSpPr>
          <a:spLocks noChangeArrowheads="1"/>
        </xdr:cNvSpPr>
      </xdr:nvSpPr>
      <xdr:spPr bwMode="auto">
        <a:xfrm>
          <a:off x="9296400" y="144780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EXCLUIR LINHAS</a:t>
          </a:r>
        </a:p>
      </xdr:txBody>
    </xdr:sp>
    <xdr:clientData fPrintsWithSheet="0"/>
  </xdr:twoCellAnchor>
  <xdr:twoCellAnchor>
    <xdr:from>
      <xdr:col>17</xdr:col>
      <xdr:colOff>1590675</xdr:colOff>
      <xdr:row>9</xdr:row>
      <xdr:rowOff>0</xdr:rowOff>
    </xdr:from>
    <xdr:to>
      <xdr:col>17</xdr:col>
      <xdr:colOff>3248025</xdr:colOff>
      <xdr:row>10</xdr:row>
      <xdr:rowOff>152400</xdr:rowOff>
    </xdr:to>
    <xdr:sp macro="[0]!Descrição.recuperar" textlink="" fLocksText="0">
      <xdr:nvSpPr>
        <xdr:cNvPr id="5137" name="AutoShape 67"/>
        <xdr:cNvSpPr>
          <a:spLocks noChangeArrowheads="1"/>
        </xdr:cNvSpPr>
      </xdr:nvSpPr>
      <xdr:spPr bwMode="auto">
        <a:xfrm>
          <a:off x="12306300" y="1447800"/>
          <a:ext cx="16573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RECUPERAR FÓRMULAS</a:t>
          </a:r>
        </a:p>
      </xdr:txBody>
    </xdr:sp>
    <xdr:clientData fPrintsWithSheet="0"/>
  </xdr:twoCellAnchor>
  <xdr:twoCellAnchor>
    <xdr:from>
      <xdr:col>17</xdr:col>
      <xdr:colOff>3312583</xdr:colOff>
      <xdr:row>9</xdr:row>
      <xdr:rowOff>1</xdr:rowOff>
    </xdr:from>
    <xdr:to>
      <xdr:col>18</xdr:col>
      <xdr:colOff>264583</xdr:colOff>
      <xdr:row>10</xdr:row>
      <xdr:rowOff>152401</xdr:rowOff>
    </xdr:to>
    <xdr:sp macro="[0]!buscarcodigo" textlink="" fLocksText="0">
      <xdr:nvSpPr>
        <xdr:cNvPr id="14" name="AutoShape 67"/>
        <xdr:cNvSpPr>
          <a:spLocks noChangeArrowheads="1"/>
        </xdr:cNvSpPr>
      </xdr:nvSpPr>
      <xdr:spPr bwMode="auto">
        <a:xfrm>
          <a:off x="7662333" y="1428751"/>
          <a:ext cx="1333500" cy="31115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BUSCAR CÓDIGO</a:t>
          </a:r>
        </a:p>
      </xdr:txBody>
    </xdr:sp>
    <xdr:clientData fPrintsWithSheet="0"/>
  </xdr:twoCellAnchor>
  <xdr:twoCellAnchor>
    <xdr:from>
      <xdr:col>12</xdr:col>
      <xdr:colOff>296333</xdr:colOff>
      <xdr:row>2</xdr:row>
      <xdr:rowOff>84667</xdr:rowOff>
    </xdr:from>
    <xdr:to>
      <xdr:col>13</xdr:col>
      <xdr:colOff>285751</xdr:colOff>
      <xdr:row>4</xdr:row>
      <xdr:rowOff>69850</xdr:rowOff>
    </xdr:to>
    <xdr:sp macro="" textlink="" fLocksText="0">
      <xdr:nvSpPr>
        <xdr:cNvPr id="15" name="AutoShape 67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539750" y="508000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←</a:t>
          </a:r>
        </a:p>
      </xdr:txBody>
    </xdr:sp>
    <xdr:clientData/>
  </xdr:twoCellAnchor>
  <xdr:twoCellAnchor>
    <xdr:from>
      <xdr:col>12</xdr:col>
      <xdr:colOff>300566</xdr:colOff>
      <xdr:row>4</xdr:row>
      <xdr:rowOff>120650</xdr:rowOff>
    </xdr:from>
    <xdr:to>
      <xdr:col>13</xdr:col>
      <xdr:colOff>289984</xdr:colOff>
      <xdr:row>7</xdr:row>
      <xdr:rowOff>52916</xdr:rowOff>
    </xdr:to>
    <xdr:sp macro="" textlink="" fLocksText="0">
      <xdr:nvSpPr>
        <xdr:cNvPr id="16" name="AutoShape 67">
          <a:hlinkClick xmlns:r="http://schemas.openxmlformats.org/officeDocument/2006/relationships" r:id="rId4"/>
        </xdr:cNvPr>
        <xdr:cNvSpPr>
          <a:spLocks noChangeArrowheads="1"/>
        </xdr:cNvSpPr>
      </xdr:nvSpPr>
      <xdr:spPr bwMode="auto">
        <a:xfrm>
          <a:off x="543983" y="861483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447675</xdr:colOff>
          <xdr:row>9</xdr:row>
          <xdr:rowOff>114300</xdr:rowOff>
        </xdr:from>
        <xdr:to>
          <xdr:col>19</xdr:col>
          <xdr:colOff>866775</xdr:colOff>
          <xdr:row>11</xdr:row>
          <xdr:rowOff>38100</xdr:rowOff>
        </xdr:to>
        <xdr:sp macro="" textlink="">
          <xdr:nvSpPr>
            <xdr:cNvPr id="5128" name="CaixaArredQuant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438150</xdr:colOff>
          <xdr:row>9</xdr:row>
          <xdr:rowOff>114300</xdr:rowOff>
        </xdr:from>
        <xdr:to>
          <xdr:col>20</xdr:col>
          <xdr:colOff>857250</xdr:colOff>
          <xdr:row>11</xdr:row>
          <xdr:rowOff>38100</xdr:rowOff>
        </xdr:to>
        <xdr:sp macro="" textlink="">
          <xdr:nvSpPr>
            <xdr:cNvPr id="5129" name="CaixaArredCustoUnit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276225</xdr:colOff>
          <xdr:row>9</xdr:row>
          <xdr:rowOff>114300</xdr:rowOff>
        </xdr:from>
        <xdr:to>
          <xdr:col>21</xdr:col>
          <xdr:colOff>695325</xdr:colOff>
          <xdr:row>11</xdr:row>
          <xdr:rowOff>38100</xdr:rowOff>
        </xdr:to>
        <xdr:sp macro="" textlink="">
          <xdr:nvSpPr>
            <xdr:cNvPr id="5130" name="CaixaArredBDI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352425</xdr:colOff>
          <xdr:row>9</xdr:row>
          <xdr:rowOff>114300</xdr:rowOff>
        </xdr:from>
        <xdr:to>
          <xdr:col>22</xdr:col>
          <xdr:colOff>771525</xdr:colOff>
          <xdr:row>11</xdr:row>
          <xdr:rowOff>38100</xdr:rowOff>
        </xdr:to>
        <xdr:sp macro="" textlink="">
          <xdr:nvSpPr>
            <xdr:cNvPr id="5131" name="CaixaArredPrecoUnit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438150</xdr:colOff>
          <xdr:row>9</xdr:row>
          <xdr:rowOff>104775</xdr:rowOff>
        </xdr:from>
        <xdr:to>
          <xdr:col>23</xdr:col>
          <xdr:colOff>857250</xdr:colOff>
          <xdr:row>11</xdr:row>
          <xdr:rowOff>28575</xdr:rowOff>
        </xdr:to>
        <xdr:sp macro="" textlink="">
          <xdr:nvSpPr>
            <xdr:cNvPr id="5132" name="CaixaArredPrecoTotal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0</xdr:row>
      <xdr:rowOff>19050</xdr:rowOff>
    </xdr:from>
    <xdr:to>
      <xdr:col>5</xdr:col>
      <xdr:colOff>1009650</xdr:colOff>
      <xdr:row>2</xdr:row>
      <xdr:rowOff>9525</xdr:rowOff>
    </xdr:to>
    <xdr:pic>
      <xdr:nvPicPr>
        <xdr:cNvPr id="7347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19050"/>
          <a:ext cx="1819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152400</xdr:colOff>
      <xdr:row>1</xdr:row>
      <xdr:rowOff>9525</xdr:rowOff>
    </xdr:from>
    <xdr:to>
      <xdr:col>3</xdr:col>
      <xdr:colOff>466725</xdr:colOff>
      <xdr:row>2</xdr:row>
      <xdr:rowOff>123825</xdr:rowOff>
    </xdr:to>
    <xdr:sp macro="" textlink="" fLocksText="0">
      <xdr:nvSpPr>
        <xdr:cNvPr id="6147" name="AutoShape 6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152400" y="209550"/>
          <a:ext cx="561975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  <xdr:twoCellAnchor>
    <xdr:from>
      <xdr:col>5</xdr:col>
      <xdr:colOff>171450</xdr:colOff>
      <xdr:row>11</xdr:row>
      <xdr:rowOff>266700</xdr:rowOff>
    </xdr:from>
    <xdr:to>
      <xdr:col>5</xdr:col>
      <xdr:colOff>2828925</xdr:colOff>
      <xdr:row>11</xdr:row>
      <xdr:rowOff>571500</xdr:rowOff>
    </xdr:to>
    <xdr:sp macro="" textlink="" fLocksText="0">
      <xdr:nvSpPr>
        <xdr:cNvPr id="6148" name="AutoShape 67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1847850" y="1304925"/>
          <a:ext cx="2657475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REDEFINIR AGRUPADORES DE EVENTOS</a:t>
          </a:r>
        </a:p>
      </xdr:txBody>
    </xdr:sp>
    <xdr:clientData fPrintsWithSheet="0"/>
  </xdr:twoCellAnchor>
  <xdr:twoCellAnchor>
    <xdr:from>
      <xdr:col>5</xdr:col>
      <xdr:colOff>2886075</xdr:colOff>
      <xdr:row>11</xdr:row>
      <xdr:rowOff>266700</xdr:rowOff>
    </xdr:from>
    <xdr:to>
      <xdr:col>6</xdr:col>
      <xdr:colOff>19050</xdr:colOff>
      <xdr:row>11</xdr:row>
      <xdr:rowOff>571500</xdr:rowOff>
    </xdr:to>
    <xdr:sp macro="[0]!Colunas.incluirpag" textlink="" fLocksText="0">
      <xdr:nvSpPr>
        <xdr:cNvPr id="6149" name="AutoShape 67"/>
        <xdr:cNvSpPr>
          <a:spLocks noChangeArrowheads="1"/>
        </xdr:cNvSpPr>
      </xdr:nvSpPr>
      <xdr:spPr bwMode="auto">
        <a:xfrm>
          <a:off x="4562475" y="1304925"/>
          <a:ext cx="1514475" cy="3048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ADICIONAR 8 FRENTES</a:t>
          </a:r>
        </a:p>
      </xdr:txBody>
    </xdr:sp>
    <xdr:clientData fPrintsWithSheet="0"/>
  </xdr:twoCellAnchor>
  <xdr:twoCellAnchor>
    <xdr:from>
      <xdr:col>6</xdr:col>
      <xdr:colOff>85725</xdr:colOff>
      <xdr:row>11</xdr:row>
      <xdr:rowOff>266700</xdr:rowOff>
    </xdr:from>
    <xdr:to>
      <xdr:col>7</xdr:col>
      <xdr:colOff>885825</xdr:colOff>
      <xdr:row>11</xdr:row>
      <xdr:rowOff>581025</xdr:rowOff>
    </xdr:to>
    <xdr:sp macro="[0]!Colunas.excluirpag" textlink="" fLocksText="0">
      <xdr:nvSpPr>
        <xdr:cNvPr id="6150" name="AutoShape 67"/>
        <xdr:cNvSpPr>
          <a:spLocks noChangeArrowheads="1"/>
        </xdr:cNvSpPr>
      </xdr:nvSpPr>
      <xdr:spPr bwMode="auto">
        <a:xfrm>
          <a:off x="6143625" y="1304925"/>
          <a:ext cx="1514475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EXCLUIR 8 FRENTES</a:t>
          </a:r>
        </a:p>
      </xdr:txBody>
    </xdr:sp>
    <xdr:clientData fPrintsWithSheet="0"/>
  </xdr:twoCellAnchor>
  <xdr:twoCellAnchor>
    <xdr:from>
      <xdr:col>2</xdr:col>
      <xdr:colOff>137584</xdr:colOff>
      <xdr:row>3</xdr:row>
      <xdr:rowOff>21167</xdr:rowOff>
    </xdr:from>
    <xdr:to>
      <xdr:col>3</xdr:col>
      <xdr:colOff>465668</xdr:colOff>
      <xdr:row>5</xdr:row>
      <xdr:rowOff>6350</xdr:rowOff>
    </xdr:to>
    <xdr:sp macro="" textlink="" fLocksText="0">
      <xdr:nvSpPr>
        <xdr:cNvPr id="7" name="AutoShape 67">
          <a:hlinkClick xmlns:r="http://schemas.openxmlformats.org/officeDocument/2006/relationships" r:id="rId4"/>
        </xdr:cNvPr>
        <xdr:cNvSpPr>
          <a:spLocks noChangeArrowheads="1"/>
        </xdr:cNvSpPr>
      </xdr:nvSpPr>
      <xdr:spPr bwMode="auto">
        <a:xfrm>
          <a:off x="137584" y="571500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←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695325</xdr:colOff>
      <xdr:row>7</xdr:row>
      <xdr:rowOff>304800</xdr:rowOff>
    </xdr:to>
    <xdr:sp macro="" textlink="" fLocksText="0">
      <xdr:nvSpPr>
        <xdr:cNvPr id="7170" name="AutoShape 67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609600" y="1009650"/>
          <a:ext cx="695325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VOLTAR</a:t>
          </a:r>
        </a:p>
      </xdr:txBody>
    </xdr:sp>
    <xdr:clientData fPrintsWithSheet="0"/>
  </xdr:twoCellAnchor>
  <xdr:twoCellAnchor>
    <xdr:from>
      <xdr:col>3</xdr:col>
      <xdr:colOff>533400</xdr:colOff>
      <xdr:row>7</xdr:row>
      <xdr:rowOff>0</xdr:rowOff>
    </xdr:from>
    <xdr:to>
      <xdr:col>3</xdr:col>
      <xdr:colOff>1962150</xdr:colOff>
      <xdr:row>7</xdr:row>
      <xdr:rowOff>304800</xdr:rowOff>
    </xdr:to>
    <xdr:sp macro="[0]!Linhas.AddLinha" textlink="" fLocksText="0">
      <xdr:nvSpPr>
        <xdr:cNvPr id="7171" name="AutoShape 67"/>
        <xdr:cNvSpPr>
          <a:spLocks noChangeArrowheads="1"/>
        </xdr:cNvSpPr>
      </xdr:nvSpPr>
      <xdr:spPr bwMode="auto">
        <a:xfrm>
          <a:off x="1990725" y="1009650"/>
          <a:ext cx="1428750" cy="3048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ADICIONAR LINHAS</a:t>
          </a:r>
        </a:p>
      </xdr:txBody>
    </xdr:sp>
    <xdr:clientData fPrintsWithSheet="0"/>
  </xdr:twoCellAnchor>
  <xdr:twoCellAnchor>
    <xdr:from>
      <xdr:col>3</xdr:col>
      <xdr:colOff>2028825</xdr:colOff>
      <xdr:row>7</xdr:row>
      <xdr:rowOff>0</xdr:rowOff>
    </xdr:from>
    <xdr:to>
      <xdr:col>5</xdr:col>
      <xdr:colOff>800100</xdr:colOff>
      <xdr:row>7</xdr:row>
      <xdr:rowOff>304800</xdr:rowOff>
    </xdr:to>
    <xdr:sp macro="[0]!Linhas.ExcLinhas" textlink="" fLocksText="0">
      <xdr:nvSpPr>
        <xdr:cNvPr id="7172" name="AutoShape 67"/>
        <xdr:cNvSpPr>
          <a:spLocks noChangeArrowheads="1"/>
        </xdr:cNvSpPr>
      </xdr:nvSpPr>
      <xdr:spPr bwMode="auto">
        <a:xfrm>
          <a:off x="3486150" y="1009650"/>
          <a:ext cx="1428750" cy="3048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EXCLUIR LINHAS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133350</xdr:colOff>
      <xdr:row>3</xdr:row>
      <xdr:rowOff>180975</xdr:rowOff>
    </xdr:to>
    <xdr:pic>
      <xdr:nvPicPr>
        <xdr:cNvPr id="8015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809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7</xdr:row>
      <xdr:rowOff>147108</xdr:rowOff>
    </xdr:from>
    <xdr:to>
      <xdr:col>2</xdr:col>
      <xdr:colOff>28575</xdr:colOff>
      <xdr:row>9</xdr:row>
      <xdr:rowOff>101600</xdr:rowOff>
    </xdr:to>
    <xdr:sp macro="" textlink="" fLocksText="0">
      <xdr:nvSpPr>
        <xdr:cNvPr id="10243" name="AutoShape 6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254000" y="1025525"/>
          <a:ext cx="568325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xdr:twoCellAnchor>
    <xdr:from>
      <xdr:col>1</xdr:col>
      <xdr:colOff>0</xdr:colOff>
      <xdr:row>10</xdr:row>
      <xdr:rowOff>0</xdr:rowOff>
    </xdr:from>
    <xdr:to>
      <xdr:col>2</xdr:col>
      <xdr:colOff>31751</xdr:colOff>
      <xdr:row>10</xdr:row>
      <xdr:rowOff>302683</xdr:rowOff>
    </xdr:to>
    <xdr:sp macro="" textlink="" fLocksText="0">
      <xdr:nvSpPr>
        <xdr:cNvPr id="5" name="AutoShape 67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254000" y="1397000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←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  <xdr:twoCellAnchor>
    <xdr:from>
      <xdr:col>1</xdr:col>
      <xdr:colOff>0</xdr:colOff>
      <xdr:row>10</xdr:row>
      <xdr:rowOff>359833</xdr:rowOff>
    </xdr:from>
    <xdr:to>
      <xdr:col>2</xdr:col>
      <xdr:colOff>31751</xdr:colOff>
      <xdr:row>10</xdr:row>
      <xdr:rowOff>662516</xdr:rowOff>
    </xdr:to>
    <xdr:sp macro="" textlink="" fLocksText="0">
      <xdr:nvSpPr>
        <xdr:cNvPr id="6" name="AutoShape 67">
          <a:hlinkClick xmlns:r="http://schemas.openxmlformats.org/officeDocument/2006/relationships" r:id="rId4"/>
        </xdr:cNvPr>
        <xdr:cNvSpPr>
          <a:spLocks noChangeArrowheads="1"/>
        </xdr:cNvSpPr>
      </xdr:nvSpPr>
      <xdr:spPr bwMode="auto">
        <a:xfrm>
          <a:off x="254000" y="1756833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8</xdr:row>
          <xdr:rowOff>9525</xdr:rowOff>
        </xdr:from>
        <xdr:to>
          <xdr:col>11</xdr:col>
          <xdr:colOff>209550</xdr:colOff>
          <xdr:row>9</xdr:row>
          <xdr:rowOff>0</xdr:rowOff>
        </xdr:to>
        <xdr:sp macro="" textlink="">
          <xdr:nvSpPr>
            <xdr:cNvPr id="10246" name="Botão de rotação 275" hidden="1">
              <a:extLst>
                <a:ext uri="{63B3BB69-23CF-44E3-9099-C40C66FF867C}">
                  <a14:compatExt spid="_x0000_s10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9</xdr:col>
      <xdr:colOff>352425</xdr:colOff>
      <xdr:row>4</xdr:row>
      <xdr:rowOff>171450</xdr:rowOff>
    </xdr:to>
    <xdr:pic>
      <xdr:nvPicPr>
        <xdr:cNvPr id="715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0"/>
          <a:ext cx="1800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142875</xdr:colOff>
      <xdr:row>3</xdr:row>
      <xdr:rowOff>85725</xdr:rowOff>
    </xdr:from>
    <xdr:to>
      <xdr:col>6</xdr:col>
      <xdr:colOff>714375</xdr:colOff>
      <xdr:row>4</xdr:row>
      <xdr:rowOff>190500</xdr:rowOff>
    </xdr:to>
    <xdr:sp macro="" textlink="" fLocksText="0">
      <xdr:nvSpPr>
        <xdr:cNvPr id="8195" name="AutoShape 6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3181350" y="571500"/>
          <a:ext cx="571500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  <xdr:twoCellAnchor>
    <xdr:from>
      <xdr:col>20</xdr:col>
      <xdr:colOff>104776</xdr:colOff>
      <xdr:row>8</xdr:row>
      <xdr:rowOff>85725</xdr:rowOff>
    </xdr:from>
    <xdr:to>
      <xdr:col>23</xdr:col>
      <xdr:colOff>10584</xdr:colOff>
      <xdr:row>10</xdr:row>
      <xdr:rowOff>76200</xdr:rowOff>
    </xdr:to>
    <xdr:sp macro="" textlink="" fLocksText="0">
      <xdr:nvSpPr>
        <xdr:cNvPr id="8196" name="CRONO.b.preenchEventos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11026776" y="1271058"/>
          <a:ext cx="2096558" cy="30797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PREENCHIMENTO POR EVENTOS</a:t>
          </a:r>
        </a:p>
      </xdr:txBody>
    </xdr:sp>
    <xdr:clientData fPrintsWithSheet="0"/>
  </xdr:twoCellAnchor>
  <xdr:twoCellAnchor>
    <xdr:from>
      <xdr:col>7</xdr:col>
      <xdr:colOff>95250</xdr:colOff>
      <xdr:row>8</xdr:row>
      <xdr:rowOff>85725</xdr:rowOff>
    </xdr:from>
    <xdr:to>
      <xdr:col>9</xdr:col>
      <xdr:colOff>76200</xdr:colOff>
      <xdr:row>10</xdr:row>
      <xdr:rowOff>76200</xdr:rowOff>
    </xdr:to>
    <xdr:sp macro="[0]!CRONO.AtualizarLinhas" textlink="" fLocksText="0">
      <xdr:nvSpPr>
        <xdr:cNvPr id="8197" name="AutoShape 67"/>
        <xdr:cNvSpPr>
          <a:spLocks noChangeArrowheads="1"/>
        </xdr:cNvSpPr>
      </xdr:nvSpPr>
      <xdr:spPr bwMode="auto">
        <a:xfrm>
          <a:off x="3981450" y="144780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ATUALIZAR LINHAS</a:t>
          </a:r>
        </a:p>
      </xdr:txBody>
    </xdr:sp>
    <xdr:clientData fPrintsWithSheet="0"/>
  </xdr:twoCellAnchor>
  <xdr:twoCellAnchor>
    <xdr:from>
      <xdr:col>23</xdr:col>
      <xdr:colOff>109008</xdr:colOff>
      <xdr:row>8</xdr:row>
      <xdr:rowOff>85725</xdr:rowOff>
    </xdr:from>
    <xdr:to>
      <xdr:col>25</xdr:col>
      <xdr:colOff>80433</xdr:colOff>
      <xdr:row>10</xdr:row>
      <xdr:rowOff>76200</xdr:rowOff>
    </xdr:to>
    <xdr:sp macro="[0]!incluirpag" textlink="" fLocksText="0">
      <xdr:nvSpPr>
        <xdr:cNvPr id="8198" name="AutoShape 67"/>
        <xdr:cNvSpPr>
          <a:spLocks noChangeArrowheads="1"/>
        </xdr:cNvSpPr>
      </xdr:nvSpPr>
      <xdr:spPr bwMode="auto">
        <a:xfrm>
          <a:off x="13221758" y="1271058"/>
          <a:ext cx="1431925" cy="3079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ADIC. 12 PARCELAS</a:t>
          </a:r>
        </a:p>
      </xdr:txBody>
    </xdr:sp>
    <xdr:clientData fPrintsWithSheet="0"/>
  </xdr:twoCellAnchor>
  <xdr:twoCellAnchor>
    <xdr:from>
      <xdr:col>25</xdr:col>
      <xdr:colOff>137583</xdr:colOff>
      <xdr:row>8</xdr:row>
      <xdr:rowOff>85725</xdr:rowOff>
    </xdr:from>
    <xdr:to>
      <xdr:col>27</xdr:col>
      <xdr:colOff>99483</xdr:colOff>
      <xdr:row>10</xdr:row>
      <xdr:rowOff>76200</xdr:rowOff>
    </xdr:to>
    <xdr:sp macro="[0]!excluirpag" textlink="" fLocksText="0">
      <xdr:nvSpPr>
        <xdr:cNvPr id="8199" name="AutoShape 67"/>
        <xdr:cNvSpPr>
          <a:spLocks noChangeArrowheads="1"/>
        </xdr:cNvSpPr>
      </xdr:nvSpPr>
      <xdr:spPr bwMode="auto">
        <a:xfrm>
          <a:off x="14710833" y="1271058"/>
          <a:ext cx="1422400" cy="3079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EXC. 12 PARCELAS</a:t>
          </a: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10</xdr:row>
      <xdr:rowOff>228600</xdr:rowOff>
    </xdr:from>
    <xdr:to>
      <xdr:col>2</xdr:col>
      <xdr:colOff>409575</xdr:colOff>
      <xdr:row>10</xdr:row>
      <xdr:rowOff>542925</xdr:rowOff>
    </xdr:to>
    <xdr:sp macro="" textlink="" fLocksText="0">
      <xdr:nvSpPr>
        <xdr:cNvPr id="9218" name="AutoShape 67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514350" y="1428750"/>
          <a:ext cx="695325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VOLTAR</a:t>
          </a:r>
        </a:p>
      </xdr:txBody>
    </xdr:sp>
    <xdr:clientData/>
  </xdr:twoCellAnchor>
  <xdr:twoCellAnchor>
    <xdr:from>
      <xdr:col>2</xdr:col>
      <xdr:colOff>590550</xdr:colOff>
      <xdr:row>10</xdr:row>
      <xdr:rowOff>238125</xdr:rowOff>
    </xdr:from>
    <xdr:to>
      <xdr:col>2</xdr:col>
      <xdr:colOff>2019300</xdr:colOff>
      <xdr:row>10</xdr:row>
      <xdr:rowOff>542925</xdr:rowOff>
    </xdr:to>
    <xdr:sp macro="[0]!CRONO.AtualizarLinhas" textlink="" fLocksText="0">
      <xdr:nvSpPr>
        <xdr:cNvPr id="9219" name="AutoShape 67"/>
        <xdr:cNvSpPr>
          <a:spLocks noChangeArrowheads="1"/>
        </xdr:cNvSpPr>
      </xdr:nvSpPr>
      <xdr:spPr bwMode="auto">
        <a:xfrm>
          <a:off x="1390650" y="1438275"/>
          <a:ext cx="1428750" cy="3048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ATUALIZAR LINHAS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5</xdr:col>
      <xdr:colOff>114300</xdr:colOff>
      <xdr:row>0</xdr:row>
      <xdr:rowOff>381000</xdr:rowOff>
    </xdr:to>
    <xdr:pic>
      <xdr:nvPicPr>
        <xdr:cNvPr id="784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800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116417</xdr:colOff>
      <xdr:row>7</xdr:row>
      <xdr:rowOff>133350</xdr:rowOff>
    </xdr:from>
    <xdr:to>
      <xdr:col>15</xdr:col>
      <xdr:colOff>10584</xdr:colOff>
      <xdr:row>10</xdr:row>
      <xdr:rowOff>148166</xdr:rowOff>
    </xdr:to>
    <xdr:sp macro="" textlink="" fLocksText="0">
      <xdr:nvSpPr>
        <xdr:cNvPr id="11268" name="AutoShape 317"/>
        <xdr:cNvSpPr>
          <a:spLocks noChangeArrowheads="1"/>
        </xdr:cNvSpPr>
      </xdr:nvSpPr>
      <xdr:spPr bwMode="auto">
        <a:xfrm>
          <a:off x="12096750" y="1361017"/>
          <a:ext cx="2116667" cy="491066"/>
        </a:xfrm>
        <a:prstGeom prst="wedgeRectCallout">
          <a:avLst>
            <a:gd name="adj1" fmla="val 121111"/>
            <a:gd name="adj2" fmla="val 52440"/>
          </a:avLst>
        </a:prstGeom>
        <a:solidFill>
          <a:srgbClr val="FFFF99"/>
        </a:solidFill>
        <a:ln w="9360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0" bIns="0" anchor="t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Para inclusão de metas de outras Plan. Mult., digite a descrição e valores manualmente ao lado.</a:t>
          </a:r>
        </a:p>
      </xdr:txBody>
    </xdr:sp>
    <xdr:clientData fPrintsWithSheet="0"/>
  </xdr:twoCellAnchor>
  <xdr:twoCellAnchor>
    <xdr:from>
      <xdr:col>3</xdr:col>
      <xdr:colOff>66675</xdr:colOff>
      <xdr:row>8</xdr:row>
      <xdr:rowOff>9525</xdr:rowOff>
    </xdr:from>
    <xdr:to>
      <xdr:col>4</xdr:col>
      <xdr:colOff>190500</xdr:colOff>
      <xdr:row>9</xdr:row>
      <xdr:rowOff>161925</xdr:rowOff>
    </xdr:to>
    <xdr:sp macro="" textlink="" fLocksText="0">
      <xdr:nvSpPr>
        <xdr:cNvPr id="11269" name="AutoShape 6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2066925" y="1419225"/>
          <a:ext cx="571500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xdr:twoCellAnchor>
    <xdr:from>
      <xdr:col>4</xdr:col>
      <xdr:colOff>361950</xdr:colOff>
      <xdr:row>8</xdr:row>
      <xdr:rowOff>19050</xdr:rowOff>
    </xdr:from>
    <xdr:to>
      <xdr:col>5</xdr:col>
      <xdr:colOff>542925</xdr:colOff>
      <xdr:row>10</xdr:row>
      <xdr:rowOff>9525</xdr:rowOff>
    </xdr:to>
    <xdr:sp macro="[0]!Linhas.AddLinha" textlink="" fLocksText="0">
      <xdr:nvSpPr>
        <xdr:cNvPr id="11270" name="AutoShape 67"/>
        <xdr:cNvSpPr>
          <a:spLocks noChangeArrowheads="1"/>
        </xdr:cNvSpPr>
      </xdr:nvSpPr>
      <xdr:spPr bwMode="auto">
        <a:xfrm>
          <a:off x="2809875" y="142875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ADICIONAR LINHAS</a:t>
          </a:r>
        </a:p>
      </xdr:txBody>
    </xdr:sp>
    <xdr:clientData fPrintsWithSheet="0"/>
  </xdr:twoCellAnchor>
  <xdr:twoCellAnchor>
    <xdr:from>
      <xdr:col>5</xdr:col>
      <xdr:colOff>676275</xdr:colOff>
      <xdr:row>8</xdr:row>
      <xdr:rowOff>9525</xdr:rowOff>
    </xdr:from>
    <xdr:to>
      <xdr:col>6</xdr:col>
      <xdr:colOff>190500</xdr:colOff>
      <xdr:row>9</xdr:row>
      <xdr:rowOff>161925</xdr:rowOff>
    </xdr:to>
    <xdr:sp macro="[0]!Linhas.ExcLinhas" textlink="" fLocksText="0">
      <xdr:nvSpPr>
        <xdr:cNvPr id="11271" name="AutoShape 67"/>
        <xdr:cNvSpPr>
          <a:spLocks noChangeArrowheads="1"/>
        </xdr:cNvSpPr>
      </xdr:nvSpPr>
      <xdr:spPr bwMode="auto">
        <a:xfrm>
          <a:off x="4371975" y="1419225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EXCLUIR LINHAS</a:t>
          </a:r>
        </a:p>
      </xdr:txBody>
    </xdr:sp>
    <xdr:clientData fPrintsWithSheet="0"/>
  </xdr:twoCellAnchor>
  <xdr:twoCellAnchor>
    <xdr:from>
      <xdr:col>7</xdr:col>
      <xdr:colOff>751417</xdr:colOff>
      <xdr:row>8</xdr:row>
      <xdr:rowOff>10583</xdr:rowOff>
    </xdr:from>
    <xdr:to>
      <xdr:col>9</xdr:col>
      <xdr:colOff>456141</xdr:colOff>
      <xdr:row>10</xdr:row>
      <xdr:rowOff>4233</xdr:rowOff>
    </xdr:to>
    <xdr:sp macro="[0]!cpQCItoCR" textlink="" fLocksText="0">
      <xdr:nvSpPr>
        <xdr:cNvPr id="7" name="AutoShape 67"/>
        <xdr:cNvSpPr>
          <a:spLocks noChangeArrowheads="1"/>
        </xdr:cNvSpPr>
      </xdr:nvSpPr>
      <xdr:spPr bwMode="auto">
        <a:xfrm>
          <a:off x="6985000" y="1397000"/>
          <a:ext cx="1599141" cy="31115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CP QCI = CP CONTRATO</a:t>
          </a: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1238250</xdr:colOff>
      <xdr:row>8</xdr:row>
      <xdr:rowOff>57150</xdr:rowOff>
    </xdr:from>
    <xdr:to>
      <xdr:col>12</xdr:col>
      <xdr:colOff>438150</xdr:colOff>
      <xdr:row>10</xdr:row>
      <xdr:rowOff>85725</xdr:rowOff>
    </xdr:to>
    <xdr:sp macro="" textlink="" fLocksText="0">
      <xdr:nvSpPr>
        <xdr:cNvPr id="12293" name="TextBoxArred"/>
        <xdr:cNvSpPr txBox="1">
          <a:spLocks noChangeArrowheads="1"/>
        </xdr:cNvSpPr>
      </xdr:nvSpPr>
      <xdr:spPr bwMode="auto">
        <a:xfrm flipH="1">
          <a:off x="12411075" y="1314450"/>
          <a:ext cx="2790825" cy="352425"/>
        </a:xfrm>
        <a:prstGeom prst="rect">
          <a:avLst/>
        </a:prstGeom>
        <a:noFill/>
        <a:ln w="6480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27360" bIns="0" anchor="t"/>
        <a:lstStyle/>
        <a:p>
          <a:pPr algn="ctr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Considerar valores arredondados com (0,00)</a:t>
          </a:r>
        </a:p>
      </xdr:txBody>
    </xdr:sp>
    <xdr:clientData fPrintsWithSheet="0"/>
  </xdr:twoCellAnchor>
  <xdr:twoCellAnchor>
    <xdr:from>
      <xdr:col>3</xdr:col>
      <xdr:colOff>95250</xdr:colOff>
      <xdr:row>8</xdr:row>
      <xdr:rowOff>114300</xdr:rowOff>
    </xdr:from>
    <xdr:to>
      <xdr:col>3</xdr:col>
      <xdr:colOff>666750</xdr:colOff>
      <xdr:row>10</xdr:row>
      <xdr:rowOff>104775</xdr:rowOff>
    </xdr:to>
    <xdr:sp macro="" textlink="" fLocksText="0">
      <xdr:nvSpPr>
        <xdr:cNvPr id="12294" name="AutoShape 67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895725" y="1371600"/>
          <a:ext cx="571500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xdr:twoCellAnchor>
    <xdr:from>
      <xdr:col>3</xdr:col>
      <xdr:colOff>19050</xdr:colOff>
      <xdr:row>0</xdr:row>
      <xdr:rowOff>19050</xdr:rowOff>
    </xdr:from>
    <xdr:to>
      <xdr:col>4</xdr:col>
      <xdr:colOff>1104900</xdr:colOff>
      <xdr:row>2</xdr:row>
      <xdr:rowOff>19050</xdr:rowOff>
    </xdr:to>
    <xdr:pic>
      <xdr:nvPicPr>
        <xdr:cNvPr id="7644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50"/>
          <a:ext cx="1800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771525</xdr:colOff>
      <xdr:row>8</xdr:row>
      <xdr:rowOff>104775</xdr:rowOff>
    </xdr:from>
    <xdr:to>
      <xdr:col>4</xdr:col>
      <xdr:colOff>2600325</xdr:colOff>
      <xdr:row>10</xdr:row>
      <xdr:rowOff>95250</xdr:rowOff>
    </xdr:to>
    <xdr:sp macro="[0]!BM.alternaModo" textlink="" fLocksText="0">
      <xdr:nvSpPr>
        <xdr:cNvPr id="12298" name="ShapeModoBM"/>
        <xdr:cNvSpPr>
          <a:spLocks noChangeArrowheads="1"/>
        </xdr:cNvSpPr>
      </xdr:nvSpPr>
      <xdr:spPr bwMode="auto">
        <a:xfrm>
          <a:off x="1734608" y="1343025"/>
          <a:ext cx="1828800" cy="3079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Habilitar Modo CAIXA</a:t>
          </a:r>
        </a:p>
      </xdr:txBody>
    </xdr:sp>
    <xdr:clientData fPrintsWithSheet="0"/>
  </xdr:twoCellAnchor>
  <xdr:twoCellAnchor>
    <xdr:from>
      <xdr:col>16</xdr:col>
      <xdr:colOff>709083</xdr:colOff>
      <xdr:row>6</xdr:row>
      <xdr:rowOff>42333</xdr:rowOff>
    </xdr:from>
    <xdr:to>
      <xdr:col>17</xdr:col>
      <xdr:colOff>634999</xdr:colOff>
      <xdr:row>9</xdr:row>
      <xdr:rowOff>95250</xdr:rowOff>
    </xdr:to>
    <xdr:sp macro="[0]!CopiarMedição" textlink="" fLocksText="0">
      <xdr:nvSpPr>
        <xdr:cNvPr id="8" name="ShapeCopiarMed"/>
        <xdr:cNvSpPr>
          <a:spLocks noChangeArrowheads="1"/>
        </xdr:cNvSpPr>
      </xdr:nvSpPr>
      <xdr:spPr bwMode="auto">
        <a:xfrm>
          <a:off x="17187333" y="963083"/>
          <a:ext cx="709083" cy="529167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Copiar da Medição</a:t>
          </a:r>
        </a:p>
      </xdr:txBody>
    </xdr:sp>
    <xdr:clientData/>
  </xdr:twoCellAnchor>
  <xdr:twoCellAnchor>
    <xdr:from>
      <xdr:col>4</xdr:col>
      <xdr:colOff>63500</xdr:colOff>
      <xdr:row>8</xdr:row>
      <xdr:rowOff>116417</xdr:rowOff>
    </xdr:from>
    <xdr:to>
      <xdr:col>4</xdr:col>
      <xdr:colOff>635001</xdr:colOff>
      <xdr:row>10</xdr:row>
      <xdr:rowOff>101600</xdr:rowOff>
    </xdr:to>
    <xdr:sp macro="" textlink="" fLocksText="0">
      <xdr:nvSpPr>
        <xdr:cNvPr id="9" name="AutoShape 67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1026583" y="1354667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219075</xdr:colOff>
          <xdr:row>9</xdr:row>
          <xdr:rowOff>47625</xdr:rowOff>
        </xdr:from>
        <xdr:to>
          <xdr:col>10</xdr:col>
          <xdr:colOff>514350</xdr:colOff>
          <xdr:row>10</xdr:row>
          <xdr:rowOff>114300</xdr:rowOff>
        </xdr:to>
        <xdr:sp macro="" textlink="">
          <xdr:nvSpPr>
            <xdr:cNvPr id="12295" name="CaixaArredMed" hidden="1">
              <a:extLst>
                <a:ext uri="{63B3BB69-23CF-44E3-9099-C40C66FF867C}">
                  <a14:compatExt spid="_x0000_s1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6</xdr:row>
          <xdr:rowOff>123825</xdr:rowOff>
        </xdr:from>
        <xdr:to>
          <xdr:col>15</xdr:col>
          <xdr:colOff>266700</xdr:colOff>
          <xdr:row>8</xdr:row>
          <xdr:rowOff>0</xdr:rowOff>
        </xdr:to>
        <xdr:sp macro="" textlink="">
          <xdr:nvSpPr>
            <xdr:cNvPr id="12296" name="Botão de rotação 23" hidden="1">
              <a:extLst>
                <a:ext uri="{63B3BB69-23CF-44E3-9099-C40C66FF867C}">
                  <a14:compatExt spid="_x0000_s12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1352550</xdr:colOff>
      <xdr:row>0</xdr:row>
      <xdr:rowOff>381000</xdr:rowOff>
    </xdr:to>
    <xdr:pic>
      <xdr:nvPicPr>
        <xdr:cNvPr id="7722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1866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7</xdr:row>
      <xdr:rowOff>152400</xdr:rowOff>
    </xdr:from>
    <xdr:to>
      <xdr:col>24</xdr:col>
      <xdr:colOff>161925</xdr:colOff>
      <xdr:row>10</xdr:row>
      <xdr:rowOff>57150</xdr:rowOff>
    </xdr:to>
    <xdr:sp macro="" textlink="" fLocksText="0">
      <xdr:nvSpPr>
        <xdr:cNvPr id="13317" name="AutoShape 317"/>
        <xdr:cNvSpPr>
          <a:spLocks noChangeArrowheads="1"/>
        </xdr:cNvSpPr>
      </xdr:nvSpPr>
      <xdr:spPr bwMode="auto">
        <a:xfrm>
          <a:off x="10487025" y="1562100"/>
          <a:ext cx="2724150" cy="390525"/>
        </a:xfrm>
        <a:prstGeom prst="wedgeRectCallout">
          <a:avLst>
            <a:gd name="adj1" fmla="val 72181"/>
            <a:gd name="adj2" fmla="val 58333"/>
          </a:avLst>
        </a:prstGeom>
        <a:solidFill>
          <a:srgbClr val="FFFF99"/>
        </a:solidFill>
        <a:ln w="9360">
          <a:solidFill>
            <a:srgbClr val="000000"/>
          </a:solidFill>
          <a:miter lim="800000"/>
          <a:headEnd/>
          <a:tailEnd/>
        </a:ln>
        <a:effectLst/>
        <a:extLst/>
      </xdr:spPr>
      <xdr:txBody>
        <a:bodyPr vertOverflow="clip" wrap="square" lIns="27360" tIns="22680" rIns="0" bIns="0" anchor="t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Para Metas preenchidas manualmente, digite o valor medido nas colunas à direita.</a:t>
          </a:r>
        </a:p>
      </xdr:txBody>
    </xdr:sp>
    <xdr:clientData fPrintsWithSheet="0"/>
  </xdr:twoCellAnchor>
  <xdr:twoCellAnchor>
    <xdr:from>
      <xdr:col>4</xdr:col>
      <xdr:colOff>85725</xdr:colOff>
      <xdr:row>8</xdr:row>
      <xdr:rowOff>28575</xdr:rowOff>
    </xdr:from>
    <xdr:to>
      <xdr:col>5</xdr:col>
      <xdr:colOff>142875</xdr:colOff>
      <xdr:row>10</xdr:row>
      <xdr:rowOff>19050</xdr:rowOff>
    </xdr:to>
    <xdr:sp macro="" textlink="" fLocksText="0">
      <xdr:nvSpPr>
        <xdr:cNvPr id="13318" name="AutoShape 6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333375" y="1600200"/>
          <a:ext cx="571500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xdr:twoCellAnchor>
    <xdr:from>
      <xdr:col>5</xdr:col>
      <xdr:colOff>232833</xdr:colOff>
      <xdr:row>8</xdr:row>
      <xdr:rowOff>31750</xdr:rowOff>
    </xdr:from>
    <xdr:to>
      <xdr:col>5</xdr:col>
      <xdr:colOff>804334</xdr:colOff>
      <xdr:row>10</xdr:row>
      <xdr:rowOff>16933</xdr:rowOff>
    </xdr:to>
    <xdr:sp macro="" textlink="" fLocksText="0">
      <xdr:nvSpPr>
        <xdr:cNvPr id="5" name="AutoShape 67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994833" y="1587500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451909</xdr:colOff>
      <xdr:row>1</xdr:row>
      <xdr:rowOff>64559</xdr:rowOff>
    </xdr:from>
    <xdr:to>
      <xdr:col>5</xdr:col>
      <xdr:colOff>470959</xdr:colOff>
      <xdr:row>2</xdr:row>
      <xdr:rowOff>208209</xdr:rowOff>
    </xdr:to>
    <xdr:sp macro="[0]!Plan12.InsereFigura" textlink="" fLocksText="0">
      <xdr:nvSpPr>
        <xdr:cNvPr id="14337" name="ShapeBrasao"/>
        <xdr:cNvSpPr>
          <a:spLocks noChangeArrowheads="1"/>
        </xdr:cNvSpPr>
      </xdr:nvSpPr>
      <xdr:spPr bwMode="auto">
        <a:xfrm>
          <a:off x="3468159" y="223309"/>
          <a:ext cx="1405467" cy="3024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INSERIR BRASÃO</a:t>
          </a:r>
        </a:p>
      </xdr:txBody>
    </xdr:sp>
    <xdr:clientData fPrintsWithSheet="0"/>
  </xdr:twoCellAnchor>
  <xdr:twoCellAnchor>
    <xdr:from>
      <xdr:col>3</xdr:col>
      <xdr:colOff>581025</xdr:colOff>
      <xdr:row>1</xdr:row>
      <xdr:rowOff>66675</xdr:rowOff>
    </xdr:from>
    <xdr:to>
      <xdr:col>3</xdr:col>
      <xdr:colOff>1152525</xdr:colOff>
      <xdr:row>2</xdr:row>
      <xdr:rowOff>210325</xdr:rowOff>
    </xdr:to>
    <xdr:sp macro="" textlink="" fLocksText="0">
      <xdr:nvSpPr>
        <xdr:cNvPr id="14338" name="AutoShape 67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2210858" y="225425"/>
          <a:ext cx="571500" cy="3024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xdr:twoCellAnchor>
    <xdr:from>
      <xdr:col>3</xdr:col>
      <xdr:colOff>1206501</xdr:colOff>
      <xdr:row>1</xdr:row>
      <xdr:rowOff>63499</xdr:rowOff>
    </xdr:from>
    <xdr:to>
      <xdr:col>4</xdr:col>
      <xdr:colOff>391585</xdr:colOff>
      <xdr:row>2</xdr:row>
      <xdr:rowOff>207432</xdr:rowOff>
    </xdr:to>
    <xdr:sp macro="" textlink="" fLocksText="0">
      <xdr:nvSpPr>
        <xdr:cNvPr id="4" name="AutoShape 67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>
          <a:off x="2836334" y="222249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  <a:ex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←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lian/Desktop/Lot.%20Ant&#244;nio%20Monti/PLANILHA%20antonio%20mont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al"/>
      <sheetName val="Novo!"/>
      <sheetName val="Dados"/>
      <sheetName val="BDI"/>
      <sheetName val="Orçamento"/>
      <sheetName val="Memória"/>
      <sheetName val="Comp"/>
      <sheetName val="Cot"/>
      <sheetName val="CronoFF"/>
      <sheetName val="QCI"/>
      <sheetName val="Memorial Descritivo"/>
      <sheetName val="Licitação"/>
      <sheetName val="CronoFF-L"/>
      <sheetName val="QCI-L"/>
      <sheetName val="BM"/>
      <sheetName val="RRE"/>
      <sheetName val="OFÍCIO"/>
      <sheetName val="CC"/>
    </sheetNames>
    <sheetDataSet>
      <sheetData sheetId="0"/>
      <sheetData sheetId="1"/>
      <sheetData sheetId="2">
        <row r="29">
          <cell r="G29">
            <v>43800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Relationship Id="rId9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10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6" Type="http://schemas.openxmlformats.org/officeDocument/2006/relationships/comments" Target="../comments6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5"/>
  <dimension ref="A1:O25"/>
  <sheetViews>
    <sheetView showGridLines="0" zoomScaleNormal="100" zoomScaleSheetLayoutView="85" workbookViewId="0">
      <selection activeCell="E6" sqref="E6"/>
    </sheetView>
  </sheetViews>
  <sheetFormatPr defaultRowHeight="12.75" x14ac:dyDescent="0.2"/>
  <cols>
    <col min="1" max="1" width="2.85546875" style="172" customWidth="1"/>
    <col min="2" max="2" width="5.7109375" style="172" customWidth="1"/>
    <col min="3" max="3" width="38.5703125" style="172" customWidth="1"/>
    <col min="4" max="4" width="5.7109375" style="172" customWidth="1"/>
    <col min="5" max="5" width="38.5703125" style="172" customWidth="1"/>
    <col min="6" max="6" width="5.7109375" style="172" customWidth="1"/>
    <col min="7" max="7" width="38.5703125" style="172" customWidth="1"/>
    <col min="8" max="8" width="5.7109375" style="172" customWidth="1"/>
    <col min="9" max="9" width="2.85546875" style="172" customWidth="1"/>
    <col min="10" max="10" width="19" customWidth="1"/>
    <col min="11" max="11" width="3" customWidth="1"/>
    <col min="13" max="13" width="1.5703125" customWidth="1"/>
    <col min="14" max="14" width="38.85546875" customWidth="1"/>
  </cols>
  <sheetData>
    <row r="1" spans="1:15" ht="15" customHeight="1" x14ac:dyDescent="0.2">
      <c r="A1" s="525"/>
      <c r="B1" s="525"/>
      <c r="C1" s="525"/>
      <c r="D1" s="525"/>
      <c r="E1" s="525"/>
      <c r="F1" s="525"/>
      <c r="G1" s="525"/>
      <c r="H1" s="525"/>
      <c r="I1" s="525"/>
      <c r="J1" t="s">
        <v>0</v>
      </c>
    </row>
    <row r="2" spans="1:15" ht="22.5" customHeight="1" x14ac:dyDescent="0.2">
      <c r="A2" s="525"/>
      <c r="B2" s="527"/>
      <c r="C2" s="527"/>
      <c r="D2" s="527"/>
      <c r="E2" s="667" t="str">
        <f>CHOOSE(MATCH(Objeto,{"PM","PO"}),"PLANILHA MÚLTIPLA ","PLANILHA ORÇAMENTÁRIA ")&amp; Versao</f>
        <v>PLANILHA MÚLTIPLA v3.0.5</v>
      </c>
      <c r="F2" s="667"/>
      <c r="G2" s="667"/>
      <c r="H2" s="529"/>
      <c r="I2" s="527"/>
      <c r="J2" t="s">
        <v>439</v>
      </c>
    </row>
    <row r="3" spans="1:15" ht="22.5" customHeight="1" x14ac:dyDescent="0.2">
      <c r="A3" s="525"/>
      <c r="B3" s="527"/>
      <c r="C3" s="527"/>
      <c r="D3" s="527"/>
      <c r="E3" s="667"/>
      <c r="F3" s="667"/>
      <c r="G3" s="667"/>
      <c r="H3" s="529"/>
      <c r="I3" s="527"/>
      <c r="O3" s="536">
        <v>1</v>
      </c>
    </row>
    <row r="4" spans="1:15" ht="17.100000000000001" customHeight="1" x14ac:dyDescent="0.2">
      <c r="A4" s="525"/>
      <c r="B4" s="527"/>
      <c r="C4" s="527"/>
      <c r="D4" s="527"/>
      <c r="E4" s="527"/>
      <c r="F4" s="528"/>
      <c r="G4" s="529"/>
      <c r="H4" s="529"/>
      <c r="I4" s="527"/>
      <c r="O4" s="536">
        <v>1</v>
      </c>
    </row>
    <row r="5" spans="1:15" ht="17.100000000000001" customHeight="1" thickBot="1" x14ac:dyDescent="0.25">
      <c r="A5" s="525"/>
      <c r="B5" s="527"/>
      <c r="C5" s="527"/>
      <c r="D5" s="527"/>
      <c r="E5" s="527"/>
      <c r="F5" s="528"/>
      <c r="G5" s="529"/>
      <c r="H5" s="529"/>
      <c r="I5" s="527"/>
      <c r="J5" s="555" t="s">
        <v>409</v>
      </c>
    </row>
    <row r="6" spans="1:15" ht="21" customHeight="1" thickBot="1" x14ac:dyDescent="0.25">
      <c r="A6" s="525"/>
      <c r="B6" s="530"/>
      <c r="C6" s="530"/>
      <c r="D6" s="530"/>
      <c r="E6" s="532" t="s">
        <v>402</v>
      </c>
      <c r="F6" s="531"/>
      <c r="G6" s="532" t="s">
        <v>403</v>
      </c>
      <c r="H6" s="530"/>
      <c r="I6" s="525"/>
      <c r="J6" s="555" t="s">
        <v>1</v>
      </c>
    </row>
    <row r="7" spans="1:15" x14ac:dyDescent="0.2">
      <c r="A7" s="525"/>
      <c r="B7" s="525"/>
      <c r="C7" s="525"/>
      <c r="D7" s="525"/>
      <c r="E7" s="525"/>
      <c r="F7" s="525"/>
      <c r="G7" s="525"/>
      <c r="H7" s="525"/>
      <c r="I7" s="525"/>
      <c r="J7" s="555" t="s">
        <v>366</v>
      </c>
      <c r="K7" s="544"/>
      <c r="L7" s="545"/>
      <c r="M7" s="545"/>
      <c r="N7" s="546"/>
    </row>
    <row r="8" spans="1:15" ht="21" customHeight="1" x14ac:dyDescent="0.2">
      <c r="A8" s="527"/>
      <c r="B8" s="666" t="str">
        <f>IF($O$3&lt;&gt;2,"DOCUMENTAÇÃO DA PROPOSTA","PROPOSTA: Para visualizar/preencher esta seção, altere o TIPO DE ORÇAMENTO para 'Proposto'")</f>
        <v>DOCUMENTAÇÃO DA PROPOSTA</v>
      </c>
      <c r="C8" s="666"/>
      <c r="D8" s="666"/>
      <c r="E8" s="666"/>
      <c r="F8" s="666"/>
      <c r="G8" s="666"/>
      <c r="H8" s="666"/>
      <c r="I8" s="525"/>
      <c r="J8" s="555" t="s">
        <v>4</v>
      </c>
      <c r="K8" s="547"/>
      <c r="L8" s="548" t="s">
        <v>404</v>
      </c>
      <c r="M8" s="548"/>
      <c r="N8" s="549"/>
    </row>
    <row r="9" spans="1:15" ht="13.5" thickBot="1" x14ac:dyDescent="0.25">
      <c r="A9" s="525"/>
      <c r="B9" s="525"/>
      <c r="C9" s="525"/>
      <c r="D9" s="525"/>
      <c r="E9" s="525"/>
      <c r="F9" s="525"/>
      <c r="G9" s="525"/>
      <c r="H9" s="525"/>
      <c r="I9" s="525"/>
      <c r="K9" s="547"/>
      <c r="L9" s="96" t="s">
        <v>407</v>
      </c>
      <c r="M9" s="96"/>
      <c r="N9" s="549"/>
    </row>
    <row r="10" spans="1:15" ht="21" customHeight="1" thickBot="1" x14ac:dyDescent="0.25">
      <c r="A10" s="525"/>
      <c r="B10" s="525"/>
      <c r="C10" s="535" t="str">
        <f>IF(TIPOORCAMENTO&lt;&gt;"Proposto","","                    BDI                    ")</f>
        <v xml:space="preserve">                    BDI                    </v>
      </c>
      <c r="D10" s="526"/>
      <c r="E10" s="535" t="str">
        <f>IF(TIPOORCAMENTO&lt;&gt;"Proposto","","             ORÇAMENTO             ")</f>
        <v xml:space="preserve">             ORÇAMENTO             </v>
      </c>
      <c r="F10" s="526"/>
      <c r="G10" s="534" t="str">
        <f>IF(TIPOORCAMENTO&lt;&gt;"Proposto","","MEMÓRIA DE CÁLCULO / PLQ")</f>
        <v>MEMÓRIA DE CÁLCULO / PLQ</v>
      </c>
      <c r="H10" s="525"/>
      <c r="I10" s="525"/>
      <c r="K10" s="547"/>
      <c r="L10" s="6"/>
      <c r="M10" s="4"/>
      <c r="N10" s="550" t="s">
        <v>2</v>
      </c>
    </row>
    <row r="11" spans="1:15" ht="13.5" thickBot="1" x14ac:dyDescent="0.25">
      <c r="A11" s="525"/>
      <c r="B11" s="525"/>
      <c r="C11" s="526"/>
      <c r="D11" s="526"/>
      <c r="E11" s="526"/>
      <c r="F11" s="526"/>
      <c r="G11" s="526"/>
      <c r="H11" s="525"/>
      <c r="I11" s="525"/>
      <c r="K11" s="547"/>
      <c r="L11" s="3"/>
      <c r="M11" s="3"/>
      <c r="N11" s="551"/>
    </row>
    <row r="12" spans="1:15" ht="21" customHeight="1" thickBot="1" x14ac:dyDescent="0.25">
      <c r="A12" s="525"/>
      <c r="B12" s="525"/>
      <c r="C12" s="535" t="str">
        <f>IF(TIPOORCAMENTO&lt;&gt;"Proposto","","                    QCI                    ")</f>
        <v xml:space="preserve">                    QCI                    </v>
      </c>
      <c r="D12" s="526"/>
      <c r="E12" s="533" t="str">
        <f>IF(TIPOORCAMENTO&lt;&gt;"Proposto","","CRONOGRAMA FÍSICO-FINANCEIRO")</f>
        <v>CRONOGRAMA FÍSICO-FINANCEIRO</v>
      </c>
      <c r="F12" s="526"/>
      <c r="G12" s="526"/>
      <c r="H12" s="525"/>
      <c r="I12" s="525"/>
      <c r="K12" s="547"/>
      <c r="L12" s="7"/>
      <c r="M12" s="4"/>
      <c r="N12" s="550" t="s">
        <v>3</v>
      </c>
    </row>
    <row r="13" spans="1:15" x14ac:dyDescent="0.2">
      <c r="A13" s="525"/>
      <c r="B13" s="525"/>
      <c r="C13" s="525"/>
      <c r="D13" s="525"/>
      <c r="E13" s="525"/>
      <c r="F13" s="525"/>
      <c r="G13" s="525"/>
      <c r="H13" s="525"/>
      <c r="I13" s="525"/>
      <c r="K13" s="547"/>
      <c r="L13" s="96"/>
      <c r="M13" s="96"/>
      <c r="N13" s="549"/>
    </row>
    <row r="14" spans="1:15" x14ac:dyDescent="0.2">
      <c r="A14" s="525"/>
      <c r="B14" s="525"/>
      <c r="C14" s="525" t="str">
        <f ca="1">IF(TIPOORCAMENTO&lt;&gt;"Proposto","","Obs: Composições e Cotações devem ser preenchidas diretamente no arquivo Referência "&amp;IF(ISBLANK(Import.DataBase),"mm-aaaa",TEXT(Import.DataBase,"mm-aaaa"))&amp;".xls.")</f>
        <v>Obs: Composições e Cotações devem ser preenchidas diretamente no arquivo Referência 11-2023.xls.</v>
      </c>
      <c r="D14" s="525"/>
      <c r="E14" s="525"/>
      <c r="F14" s="525"/>
      <c r="G14" s="525"/>
      <c r="H14" s="525"/>
      <c r="I14" s="525"/>
      <c r="K14" s="547"/>
      <c r="L14" s="96"/>
      <c r="M14" s="96"/>
      <c r="N14" s="549"/>
    </row>
    <row r="15" spans="1:15" x14ac:dyDescent="0.2">
      <c r="A15" s="525"/>
      <c r="B15" s="525"/>
      <c r="C15" s="525"/>
      <c r="D15" s="525"/>
      <c r="E15" s="525"/>
      <c r="F15" s="525"/>
      <c r="G15" s="525"/>
      <c r="H15" s="525"/>
      <c r="I15" s="525"/>
      <c r="K15" s="547"/>
      <c r="L15" s="96" t="s">
        <v>408</v>
      </c>
      <c r="M15" s="96"/>
      <c r="N15" s="549"/>
    </row>
    <row r="16" spans="1:15" ht="21" customHeight="1" x14ac:dyDescent="0.2">
      <c r="A16" s="525"/>
      <c r="B16" s="666" t="str">
        <f>IF($O$3&lt;&gt;2,"PÓS-LICITADO: Para visualizar/preencher esta seção, altere o TIPO DE ORÇAMENTO para 'Licitado'","RESULTADO DO PROCESSO LICITATÓRIO")</f>
        <v>PÓS-LICITADO: Para visualizar/preencher esta seção, altere o TIPO DE ORÇAMENTO para 'Licitado'</v>
      </c>
      <c r="C16" s="666"/>
      <c r="D16" s="666"/>
      <c r="E16" s="666"/>
      <c r="F16" s="666"/>
      <c r="G16" s="666"/>
      <c r="H16" s="666"/>
      <c r="I16" s="525"/>
      <c r="K16" s="547"/>
      <c r="L16" s="542"/>
      <c r="M16" s="4"/>
      <c r="N16" s="550" t="s">
        <v>405</v>
      </c>
    </row>
    <row r="17" spans="1:14" ht="13.5" thickBot="1" x14ac:dyDescent="0.25">
      <c r="A17" s="525"/>
      <c r="B17" s="525"/>
      <c r="C17" s="525"/>
      <c r="D17" s="525"/>
      <c r="E17" s="525"/>
      <c r="F17" s="525"/>
      <c r="G17" s="525"/>
      <c r="H17" s="525"/>
      <c r="I17" s="525"/>
      <c r="K17" s="547"/>
      <c r="L17" s="3"/>
      <c r="M17" s="3"/>
      <c r="N17" s="551"/>
    </row>
    <row r="18" spans="1:14" ht="21" customHeight="1" thickBot="1" x14ac:dyDescent="0.25">
      <c r="A18" s="525"/>
      <c r="B18" s="525"/>
      <c r="C18" s="538" t="str">
        <f>IF(TIPOORCAMENTO&lt;&gt;"Licitado","","             ORÇAMENTO             ")</f>
        <v/>
      </c>
      <c r="D18" s="526"/>
      <c r="E18" s="538" t="str">
        <f>IF(TIPOORCAMENTO&lt;&gt;"Licitado","","                    QCI                    ")</f>
        <v/>
      </c>
      <c r="F18" s="526"/>
      <c r="G18" s="537" t="str">
        <f>IF(TIPOORCAMENTO&lt;&gt;"Licitado","","CRONOGRAMA FÍSICO-FINANCEIRO")</f>
        <v/>
      </c>
      <c r="H18" s="525"/>
      <c r="I18" s="525"/>
      <c r="K18" s="547"/>
      <c r="L18" s="543"/>
      <c r="M18" s="4"/>
      <c r="N18" s="550" t="s">
        <v>406</v>
      </c>
    </row>
    <row r="19" spans="1:14" x14ac:dyDescent="0.2">
      <c r="A19" s="525"/>
      <c r="B19" s="525"/>
      <c r="C19" s="525"/>
      <c r="D19" s="525"/>
      <c r="E19" s="525"/>
      <c r="F19" s="525"/>
      <c r="G19" s="525"/>
      <c r="H19" s="525"/>
      <c r="I19" s="525"/>
      <c r="K19" s="552"/>
      <c r="L19" s="553"/>
      <c r="M19" s="553"/>
      <c r="N19" s="554"/>
    </row>
    <row r="20" spans="1:14" ht="21" customHeight="1" x14ac:dyDescent="0.2">
      <c r="A20" s="527"/>
      <c r="B20" s="666" t="str">
        <f>IF($O$3&lt;&gt;2,"ACOMPANHAMENTO: Para visualizar/preencher esta seção, altere o TIPO DE ORÇAMENTO para 'Licitado'","ACOMPANHAMENTO DO EMPREENDIMENTO")</f>
        <v>ACOMPANHAMENTO: Para visualizar/preencher esta seção, altere o TIPO DE ORÇAMENTO para 'Licitado'</v>
      </c>
      <c r="C20" s="666"/>
      <c r="D20" s="666"/>
      <c r="E20" s="666"/>
      <c r="F20" s="666"/>
      <c r="G20" s="666"/>
      <c r="H20" s="666"/>
      <c r="I20" s="525"/>
    </row>
    <row r="21" spans="1:14" ht="13.5" thickBot="1" x14ac:dyDescent="0.25">
      <c r="A21" s="525"/>
      <c r="B21" s="525"/>
      <c r="C21" s="525"/>
      <c r="D21" s="525"/>
      <c r="E21" s="525"/>
      <c r="F21" s="525"/>
      <c r="G21" s="525"/>
      <c r="H21" s="525"/>
      <c r="I21" s="525"/>
    </row>
    <row r="22" spans="1:14" ht="21" customHeight="1" thickBot="1" x14ac:dyDescent="0.25">
      <c r="A22" s="525"/>
      <c r="B22" s="525"/>
      <c r="C22" s="539" t="str">
        <f>IF(OR(TIPOORCAMENTO&lt;&gt;"Licitado",ACOMPANHAMENTO&lt;&gt;"PLE"),"","PLAN. DE LEVANT. DE EVENTOS - PLE")</f>
        <v/>
      </c>
      <c r="D22" s="526"/>
      <c r="E22" s="541" t="str">
        <f>IF(TIPOORCAMENTO&lt;&gt;"Licitado","","                    RRE                    ")</f>
        <v/>
      </c>
      <c r="F22" s="526"/>
      <c r="G22" s="540" t="str">
        <f>IF(OR(TIPOORCAMENTO&lt;&gt;"Licitado",ACOMPANHAMENTO&lt;&gt;"BM"),"","  BOLETIM DE MEDIÇÃO - BM  ")</f>
        <v/>
      </c>
      <c r="H22" s="525"/>
      <c r="I22" s="525"/>
    </row>
    <row r="23" spans="1:14" ht="13.5" thickBot="1" x14ac:dyDescent="0.25">
      <c r="A23" s="525"/>
      <c r="B23" s="525"/>
      <c r="C23" s="526"/>
      <c r="D23" s="526"/>
      <c r="E23" s="526"/>
      <c r="F23" s="526"/>
      <c r="G23" s="526"/>
      <c r="H23" s="525"/>
      <c r="I23" s="525"/>
    </row>
    <row r="24" spans="1:14" ht="21" customHeight="1" thickBot="1" x14ac:dyDescent="0.25">
      <c r="A24" s="525"/>
      <c r="B24" s="525"/>
      <c r="C24" s="526"/>
      <c r="D24" s="526"/>
      <c r="E24" s="539" t="str">
        <f>IF(TIPOORCAMENTO&lt;&gt;"Licitado","","OF. DE SOLICITAÇÃO DE DESBLOQUEIO")</f>
        <v/>
      </c>
      <c r="F24" s="526"/>
      <c r="G24" s="526"/>
      <c r="H24" s="525"/>
      <c r="I24" s="525"/>
    </row>
    <row r="25" spans="1:14" x14ac:dyDescent="0.2">
      <c r="A25" s="525"/>
      <c r="B25" s="525"/>
      <c r="C25" s="525"/>
      <c r="D25" s="525"/>
      <c r="E25" s="525"/>
      <c r="F25" s="525"/>
      <c r="G25" s="525"/>
      <c r="H25" s="525"/>
      <c r="I25" s="525"/>
    </row>
  </sheetData>
  <sheetProtection password="BD1F" sheet="1" objects="1" scenarios="1" autoFilter="0"/>
  <mergeCells count="4">
    <mergeCell ref="B20:H20"/>
    <mergeCell ref="B8:H8"/>
    <mergeCell ref="E2:G3"/>
    <mergeCell ref="B16:H16"/>
  </mergeCells>
  <phoneticPr fontId="40" type="noConversion"/>
  <conditionalFormatting sqref="C10:G14">
    <cfRule type="expression" dxfId="339" priority="70" stopIfTrue="1">
      <formula>TIPOORCAMENTO="Licitado"</formula>
    </cfRule>
  </conditionalFormatting>
  <conditionalFormatting sqref="C18:G18 E22:E24">
    <cfRule type="expression" dxfId="338" priority="71" stopIfTrue="1">
      <formula>TIPOORCAMENTO&lt;&gt;"Licitado"</formula>
    </cfRule>
  </conditionalFormatting>
  <conditionalFormatting sqref="C22">
    <cfRule type="expression" dxfId="337" priority="73" stopIfTrue="1">
      <formula>OR(TIPOORCAMENTO&lt;&gt;"Licitado",ACOMPANHAMENTO&lt;&gt;"PLE")</formula>
    </cfRule>
  </conditionalFormatting>
  <conditionalFormatting sqref="G22">
    <cfRule type="expression" dxfId="336" priority="74" stopIfTrue="1">
      <formula>OR(TIPOORCAMENTO&lt;&gt;"Licitado",ACOMPANHAMENTO&lt;&gt;"BM")</formula>
    </cfRule>
  </conditionalFormatting>
  <conditionalFormatting sqref="B16:H16 B20:H20">
    <cfRule type="expression" dxfId="335" priority="599" stopIfTrue="1">
      <formula>$O$3&lt;&gt;2</formula>
    </cfRule>
  </conditionalFormatting>
  <conditionalFormatting sqref="B8:H8">
    <cfRule type="expression" dxfId="334" priority="601" stopIfTrue="1">
      <formula>$O$3&lt;&gt;1</formula>
    </cfRule>
  </conditionalFormatting>
  <hyperlinks>
    <hyperlink ref="E6" location="DADOS!E3" display="DADOS DO CONTRATO"/>
    <hyperlink ref="G6" location="Novo!A1" display="NOVIDADES DA VERSÃO"/>
    <hyperlink ref="C10" location="BDI!Q11" display="BDI!Q11"/>
    <hyperlink ref="E10" location="ORÇAMENTO!M13" display="ORÇAMENTO"/>
    <hyperlink ref="G10" location="CÁLCULO!D13" display="MEMÓRIA DE CÁLCULO / PLQ"/>
    <hyperlink ref="E12" location="CRONO!G12" display="CRONOGRAMA FÍSICO-FINANCEIRO"/>
    <hyperlink ref="C18" location="ORÇAMENTO!AM15" display="             ORÇAMENTO             "/>
    <hyperlink ref="E18" location="QCI!D13" display="                    QCI                    "/>
    <hyperlink ref="G18" location="CRONO!G12" display="CRONOGRAMA FÍSICO-FINANCEIRO"/>
    <hyperlink ref="C22" location="PLE!J8" display="PLAN. DE LEVANT. DE EVENTOS - PLE"/>
    <hyperlink ref="E22" location="RRE!E13" display="                    RRE                    "/>
    <hyperlink ref="G22" location="BM!D13" display="BM!D13"/>
    <hyperlink ref="E24" location="Ofício!C6" display="OF. DE SOLICITAÇÃO DE DESBLOQUEIO"/>
    <hyperlink ref="C12" location="QCI!D13" display="QCI!D13"/>
  </hyperlinks>
  <pageMargins left="0.78740157480314998" right="0.78740157480314998" top="0.78740157480314998" bottom="0.78740157480314998" header="5.7086614173228396" footer="0.59055118110236204"/>
  <pageSetup paperSize="9" scale="60" firstPageNumber="0" orientation="portrait" horizontalDpi="300" verticalDpi="300" r:id="rId1"/>
  <headerFooter alignWithMargins="0">
    <oddHeader>&amp;L_</oddHeader>
    <oddFooter>&amp;LPMv3.0.4&amp;R&amp;P / &amp;N</oddFooter>
  </headerFooter>
  <colBreaks count="1" manualBreakCount="1">
    <brk id="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84" r:id="rId4" name="Group Box 24">
              <controlPr defaultSize="0" autoFill="0" autoPict="0">
                <anchor moveWithCells="1" sizeWithCells="1">
                  <from>
                    <xdr:col>2</xdr:col>
                    <xdr:colOff>1323975</xdr:colOff>
                    <xdr:row>4</xdr:row>
                    <xdr:rowOff>0</xdr:rowOff>
                  </from>
                  <to>
                    <xdr:col>3</xdr:col>
                    <xdr:colOff>19050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4" r:id="rId5" name="Drop Down 94">
              <controlPr defaultSize="0" autoLine="0" autoPict="0">
                <anchor moveWithCells="1" sizeWithCells="1">
                  <from>
                    <xdr:col>2</xdr:col>
                    <xdr:colOff>1457325</xdr:colOff>
                    <xdr:row>4</xdr:row>
                    <xdr:rowOff>161925</xdr:rowOff>
                  </from>
                  <to>
                    <xdr:col>2</xdr:col>
                    <xdr:colOff>2409825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6" name="Group Box 17">
              <controlPr defaultSize="0" autoFill="0" autoPict="0" altText="Tipo de Orçamento          ">
                <anchor moveWithCells="1" sizeWithCells="1">
                  <from>
                    <xdr:col>2</xdr:col>
                    <xdr:colOff>9525</xdr:colOff>
                    <xdr:row>4</xdr:row>
                    <xdr:rowOff>0</xdr:rowOff>
                  </from>
                  <to>
                    <xdr:col>2</xdr:col>
                    <xdr:colOff>1228725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3" r:id="rId7" name="Drop Down 93">
              <controlPr defaultSize="0" autoLine="0" autoPict="0">
                <anchor moveWithCells="1" sizeWithCells="1">
                  <from>
                    <xdr:col>2</xdr:col>
                    <xdr:colOff>133350</xdr:colOff>
                    <xdr:row>4</xdr:row>
                    <xdr:rowOff>161925</xdr:rowOff>
                  </from>
                  <to>
                    <xdr:col>2</xdr:col>
                    <xdr:colOff>1076325</xdr:colOff>
                    <xdr:row>5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">
    <pageSetUpPr fitToPage="1"/>
  </sheetPr>
  <dimension ref="E1:AR60"/>
  <sheetViews>
    <sheetView showGridLines="0" zoomScale="90" zoomScaleNormal="90" workbookViewId="0">
      <pane ySplit="2" topLeftCell="A3" activePane="bottomLeft" state="frozen"/>
      <selection pane="bottomLeft" activeCell="H18" sqref="H18"/>
    </sheetView>
  </sheetViews>
  <sheetFormatPr defaultRowHeight="12.75" x14ac:dyDescent="0.2"/>
  <cols>
    <col min="5" max="5" width="42.7109375" style="8" customWidth="1"/>
    <col min="6" max="6" width="53.28515625" style="8" customWidth="1"/>
    <col min="10" max="10" width="14.28515625" hidden="1" customWidth="1"/>
    <col min="11" max="13" width="0" hidden="1" customWidth="1"/>
    <col min="14" max="14" width="0" style="9" hidden="1" customWidth="1"/>
    <col min="15" max="44" width="0" hidden="1" customWidth="1"/>
  </cols>
  <sheetData>
    <row r="1" spans="5:44" ht="15.75" customHeight="1" x14ac:dyDescent="0.2">
      <c r="E1" s="10" t="s">
        <v>5</v>
      </c>
      <c r="K1" s="11"/>
      <c r="L1" s="669" t="s">
        <v>6</v>
      </c>
      <c r="M1" s="669"/>
      <c r="N1" s="669"/>
      <c r="O1" s="669"/>
      <c r="P1" s="669"/>
      <c r="Q1" s="669"/>
      <c r="R1" s="669"/>
      <c r="S1" s="669"/>
      <c r="T1" s="669"/>
      <c r="U1" s="669"/>
      <c r="V1" s="669"/>
      <c r="W1" s="669"/>
      <c r="X1" s="669"/>
      <c r="Y1" s="669"/>
      <c r="Z1" s="669"/>
      <c r="AA1" s="669"/>
      <c r="AB1" s="669"/>
      <c r="AC1" s="669"/>
      <c r="AD1" s="669"/>
      <c r="AE1" s="669"/>
      <c r="AF1" s="669"/>
      <c r="AG1" s="669"/>
      <c r="AH1" s="669"/>
      <c r="AI1" s="669"/>
      <c r="AJ1" s="669"/>
      <c r="AK1" s="669"/>
      <c r="AL1" s="669"/>
      <c r="AM1" s="669"/>
      <c r="AN1" s="669"/>
      <c r="AO1" s="669"/>
      <c r="AP1" s="669"/>
      <c r="AQ1" s="669"/>
      <c r="AR1" s="669"/>
    </row>
    <row r="2" spans="5:44" ht="12.75" customHeight="1" x14ac:dyDescent="0.2">
      <c r="E2" s="10"/>
      <c r="J2" s="12" t="s">
        <v>7</v>
      </c>
      <c r="K2" s="13" t="s">
        <v>8</v>
      </c>
      <c r="L2" s="14">
        <f>COUNTA(K:K)-1</f>
        <v>3</v>
      </c>
      <c r="M2" s="13" t="s">
        <v>9</v>
      </c>
      <c r="N2" s="14">
        <f>COUNTA(M:M)-1</f>
        <v>6</v>
      </c>
      <c r="O2" s="13" t="s">
        <v>10</v>
      </c>
      <c r="P2" s="14">
        <f>COUNTA(O:O)-1</f>
        <v>6</v>
      </c>
      <c r="Q2" s="13" t="s">
        <v>11</v>
      </c>
      <c r="R2" s="14">
        <f>COUNTA(Q:Q)-1</f>
        <v>6</v>
      </c>
      <c r="S2" s="13" t="s">
        <v>12</v>
      </c>
      <c r="T2" s="14">
        <f>COUNTA(S:S)-1</f>
        <v>11</v>
      </c>
      <c r="U2" s="13" t="s">
        <v>13</v>
      </c>
      <c r="V2" s="14">
        <f>COUNTA(U:U)-1</f>
        <v>8</v>
      </c>
      <c r="W2" s="13" t="s">
        <v>14</v>
      </c>
      <c r="X2" s="14">
        <f>COUNTA(W:W)-1</f>
        <v>4</v>
      </c>
      <c r="Y2" s="13" t="s">
        <v>15</v>
      </c>
      <c r="Z2" s="14">
        <f>COUNTA(Y:Y)-1</f>
        <v>6</v>
      </c>
      <c r="AA2" s="13" t="s">
        <v>16</v>
      </c>
      <c r="AB2" s="14">
        <f>COUNTA(AA:AA)-1</f>
        <v>2</v>
      </c>
      <c r="AC2" s="13" t="s">
        <v>17</v>
      </c>
      <c r="AD2" s="14">
        <f>COUNTA(AC:AC)-1</f>
        <v>2</v>
      </c>
      <c r="AE2" s="13" t="s">
        <v>18</v>
      </c>
      <c r="AF2" s="14">
        <f>COUNTA(AE:AE)-1</f>
        <v>2</v>
      </c>
      <c r="AG2" s="13" t="s">
        <v>19</v>
      </c>
      <c r="AH2" s="14">
        <f>COUNTA(AG:AG)-1</f>
        <v>1</v>
      </c>
      <c r="AI2" s="13" t="s">
        <v>20</v>
      </c>
      <c r="AJ2" s="14">
        <f>COUNTA(AI:AI)-1</f>
        <v>1</v>
      </c>
      <c r="AK2" s="13" t="s">
        <v>21</v>
      </c>
      <c r="AL2" s="14">
        <f>COUNTA(AK:AK)-1</f>
        <v>1</v>
      </c>
      <c r="AM2" s="13" t="s">
        <v>22</v>
      </c>
      <c r="AN2" s="14">
        <f>COUNTA(AM:AM)-1</f>
        <v>3</v>
      </c>
      <c r="AO2" s="13" t="s">
        <v>23</v>
      </c>
      <c r="AP2" s="14">
        <f>COUNTA(AO:AO)-1</f>
        <v>1</v>
      </c>
      <c r="AQ2" s="13" t="s">
        <v>24</v>
      </c>
      <c r="AR2" s="14">
        <f>COUNTA(AQ:AQ)-1</f>
        <v>4</v>
      </c>
    </row>
    <row r="3" spans="5:44" ht="15" x14ac:dyDescent="0.2">
      <c r="E3" s="668" t="s">
        <v>25</v>
      </c>
      <c r="F3" s="668"/>
      <c r="J3" s="15" t="s">
        <v>8</v>
      </c>
      <c r="K3" s="16" t="s">
        <v>26</v>
      </c>
      <c r="L3" s="17" t="s">
        <v>27</v>
      </c>
      <c r="M3" s="18" t="s">
        <v>28</v>
      </c>
      <c r="N3" s="17" t="s">
        <v>29</v>
      </c>
      <c r="O3" s="16" t="s">
        <v>30</v>
      </c>
      <c r="P3" s="17" t="s">
        <v>29</v>
      </c>
      <c r="Q3" s="19" t="s">
        <v>31</v>
      </c>
      <c r="R3" s="20" t="s">
        <v>32</v>
      </c>
      <c r="S3" s="16" t="s">
        <v>33</v>
      </c>
      <c r="T3" s="20" t="s">
        <v>34</v>
      </c>
      <c r="U3" s="19" t="s">
        <v>35</v>
      </c>
      <c r="V3" s="17" t="s">
        <v>27</v>
      </c>
      <c r="W3" s="16" t="s">
        <v>36</v>
      </c>
      <c r="X3" s="17" t="s">
        <v>27</v>
      </c>
      <c r="Y3" s="16" t="s">
        <v>37</v>
      </c>
      <c r="Z3" s="17" t="s">
        <v>27</v>
      </c>
      <c r="AA3" s="16" t="s">
        <v>38</v>
      </c>
      <c r="AB3" s="17" t="s">
        <v>29</v>
      </c>
      <c r="AC3" s="16" t="s">
        <v>39</v>
      </c>
      <c r="AD3" s="17" t="s">
        <v>29</v>
      </c>
      <c r="AE3" s="16" t="s">
        <v>18</v>
      </c>
      <c r="AF3" s="17" t="s">
        <v>29</v>
      </c>
      <c r="AG3" s="16" t="s">
        <v>19</v>
      </c>
      <c r="AH3" s="17" t="s">
        <v>27</v>
      </c>
      <c r="AI3" s="16" t="s">
        <v>20</v>
      </c>
      <c r="AJ3" s="17" t="s">
        <v>27</v>
      </c>
      <c r="AK3" s="16" t="s">
        <v>21</v>
      </c>
      <c r="AL3" s="17" t="s">
        <v>27</v>
      </c>
      <c r="AM3" s="16" t="s">
        <v>40</v>
      </c>
      <c r="AN3" s="17" t="s">
        <v>27</v>
      </c>
      <c r="AO3" s="16" t="s">
        <v>23</v>
      </c>
      <c r="AP3" s="20" t="s">
        <v>41</v>
      </c>
      <c r="AQ3" s="16" t="s">
        <v>42</v>
      </c>
      <c r="AR3" s="20" t="s">
        <v>43</v>
      </c>
    </row>
    <row r="4" spans="5:44" x14ac:dyDescent="0.2">
      <c r="E4" s="21" t="s">
        <v>44</v>
      </c>
      <c r="F4" s="22" t="s">
        <v>442</v>
      </c>
      <c r="J4" s="15" t="s">
        <v>9</v>
      </c>
      <c r="K4" s="16" t="s">
        <v>45</v>
      </c>
      <c r="L4" s="20" t="s">
        <v>27</v>
      </c>
      <c r="M4" s="16" t="s">
        <v>46</v>
      </c>
      <c r="N4" s="20" t="s">
        <v>29</v>
      </c>
      <c r="O4" s="16" t="s">
        <v>47</v>
      </c>
      <c r="P4" s="17" t="s">
        <v>29</v>
      </c>
      <c r="Q4" s="16" t="s">
        <v>48</v>
      </c>
      <c r="R4" s="17" t="s">
        <v>32</v>
      </c>
      <c r="S4" s="16" t="s">
        <v>49</v>
      </c>
      <c r="T4" s="20" t="s">
        <v>34</v>
      </c>
      <c r="U4" s="19" t="s">
        <v>50</v>
      </c>
      <c r="V4" s="17" t="s">
        <v>32</v>
      </c>
      <c r="W4" s="16" t="s">
        <v>51</v>
      </c>
      <c r="X4" s="20" t="s">
        <v>27</v>
      </c>
      <c r="Y4" s="19" t="s">
        <v>52</v>
      </c>
      <c r="Z4" s="17" t="s">
        <v>53</v>
      </c>
      <c r="AA4" s="16" t="s">
        <v>54</v>
      </c>
      <c r="AB4" s="17" t="s">
        <v>29</v>
      </c>
      <c r="AC4" s="16" t="s">
        <v>55</v>
      </c>
      <c r="AD4" s="17" t="s">
        <v>29</v>
      </c>
      <c r="AE4" s="16" t="s">
        <v>56</v>
      </c>
      <c r="AF4" s="17" t="s">
        <v>29</v>
      </c>
      <c r="AH4" s="20"/>
      <c r="AJ4" s="20"/>
      <c r="AL4" s="20"/>
      <c r="AM4" s="16" t="s">
        <v>57</v>
      </c>
      <c r="AN4" s="17" t="s">
        <v>27</v>
      </c>
      <c r="AQ4" s="16" t="s">
        <v>58</v>
      </c>
      <c r="AR4" s="20" t="s">
        <v>43</v>
      </c>
    </row>
    <row r="5" spans="5:44" x14ac:dyDescent="0.2">
      <c r="E5" s="23" t="s">
        <v>59</v>
      </c>
      <c r="F5" s="660" t="s">
        <v>457</v>
      </c>
      <c r="J5" s="15" t="s">
        <v>10</v>
      </c>
      <c r="K5" s="16" t="s">
        <v>60</v>
      </c>
      <c r="L5" s="20" t="s">
        <v>27</v>
      </c>
      <c r="M5" s="16" t="s">
        <v>61</v>
      </c>
      <c r="N5" s="20" t="s">
        <v>29</v>
      </c>
      <c r="O5" s="16" t="s">
        <v>62</v>
      </c>
      <c r="P5" s="20" t="s">
        <v>32</v>
      </c>
      <c r="Q5" s="16" t="s">
        <v>63</v>
      </c>
      <c r="R5" s="20" t="s">
        <v>32</v>
      </c>
      <c r="S5" s="16" t="s">
        <v>64</v>
      </c>
      <c r="T5" s="20" t="s">
        <v>34</v>
      </c>
      <c r="U5" s="19" t="s">
        <v>65</v>
      </c>
      <c r="V5" s="17" t="s">
        <v>32</v>
      </c>
      <c r="W5" s="16" t="s">
        <v>66</v>
      </c>
      <c r="X5" s="20" t="s">
        <v>32</v>
      </c>
      <c r="Y5" s="16" t="s">
        <v>67</v>
      </c>
      <c r="Z5" s="17" t="s">
        <v>53</v>
      </c>
      <c r="AB5" s="20"/>
      <c r="AD5" s="20"/>
      <c r="AF5" s="20"/>
      <c r="AH5" s="20"/>
      <c r="AJ5" s="20"/>
      <c r="AL5" s="20"/>
      <c r="AM5" s="16" t="s">
        <v>68</v>
      </c>
      <c r="AN5" s="17" t="s">
        <v>27</v>
      </c>
      <c r="AQ5" s="16" t="s">
        <v>69</v>
      </c>
      <c r="AR5" s="20" t="s">
        <v>43</v>
      </c>
    </row>
    <row r="6" spans="5:44" x14ac:dyDescent="0.2">
      <c r="E6" s="23" t="s">
        <v>70</v>
      </c>
      <c r="F6" s="660" t="s">
        <v>458</v>
      </c>
      <c r="J6" s="15" t="s">
        <v>11</v>
      </c>
      <c r="M6" s="16" t="s">
        <v>71</v>
      </c>
      <c r="N6" s="20" t="s">
        <v>29</v>
      </c>
      <c r="O6" s="16" t="s">
        <v>72</v>
      </c>
      <c r="P6" s="20" t="s">
        <v>29</v>
      </c>
      <c r="Q6" s="19" t="s">
        <v>73</v>
      </c>
      <c r="R6" s="20" t="s">
        <v>29</v>
      </c>
      <c r="S6" s="16" t="s">
        <v>74</v>
      </c>
      <c r="T6" s="20" t="s">
        <v>32</v>
      </c>
      <c r="U6" s="16" t="s">
        <v>75</v>
      </c>
      <c r="V6" s="20" t="s">
        <v>32</v>
      </c>
      <c r="W6" s="16" t="s">
        <v>76</v>
      </c>
      <c r="X6" s="20" t="s">
        <v>32</v>
      </c>
      <c r="Y6" s="19" t="s">
        <v>77</v>
      </c>
      <c r="Z6" s="17" t="s">
        <v>27</v>
      </c>
      <c r="AQ6" s="16" t="s">
        <v>78</v>
      </c>
      <c r="AR6" s="20" t="s">
        <v>43</v>
      </c>
    </row>
    <row r="7" spans="5:44" x14ac:dyDescent="0.2">
      <c r="E7" s="25" t="s">
        <v>79</v>
      </c>
      <c r="F7" s="657" t="s">
        <v>462</v>
      </c>
      <c r="J7" s="15" t="s">
        <v>12</v>
      </c>
      <c r="M7" s="16" t="s">
        <v>80</v>
      </c>
      <c r="N7" s="20" t="s">
        <v>29</v>
      </c>
      <c r="O7" s="16" t="s">
        <v>81</v>
      </c>
      <c r="P7" s="20" t="s">
        <v>29</v>
      </c>
      <c r="Q7" s="19" t="s">
        <v>82</v>
      </c>
      <c r="R7" s="20" t="s">
        <v>53</v>
      </c>
      <c r="S7" s="16" t="s">
        <v>83</v>
      </c>
      <c r="T7" s="20" t="s">
        <v>34</v>
      </c>
      <c r="U7" s="16" t="s">
        <v>84</v>
      </c>
      <c r="V7" s="20" t="s">
        <v>34</v>
      </c>
      <c r="W7" s="16"/>
      <c r="Y7" s="16" t="s">
        <v>85</v>
      </c>
      <c r="Z7" s="17" t="s">
        <v>27</v>
      </c>
    </row>
    <row r="8" spans="5:44" x14ac:dyDescent="0.2">
      <c r="E8" s="25" t="s">
        <v>86</v>
      </c>
      <c r="F8" s="657" t="s">
        <v>463</v>
      </c>
      <c r="J8" s="15" t="s">
        <v>13</v>
      </c>
      <c r="M8" s="16" t="s">
        <v>87</v>
      </c>
      <c r="N8" s="17" t="s">
        <v>29</v>
      </c>
      <c r="O8" s="16" t="s">
        <v>88</v>
      </c>
      <c r="P8" s="20" t="s">
        <v>29</v>
      </c>
      <c r="Q8" s="19" t="s">
        <v>89</v>
      </c>
      <c r="R8" s="20" t="s">
        <v>34</v>
      </c>
      <c r="S8" s="16" t="s">
        <v>90</v>
      </c>
      <c r="T8" s="20" t="s">
        <v>34</v>
      </c>
      <c r="U8" s="16" t="s">
        <v>91</v>
      </c>
      <c r="V8" s="20" t="s">
        <v>34</v>
      </c>
      <c r="Y8" s="16" t="s">
        <v>92</v>
      </c>
      <c r="Z8" s="17" t="s">
        <v>29</v>
      </c>
    </row>
    <row r="9" spans="5:44" x14ac:dyDescent="0.2">
      <c r="E9" s="25" t="str">
        <f>IF(F4="FGTS","Valor de Financiamento Contratado (R$):","Valor do Repasse Contratado (R$):")</f>
        <v>Valor do Repasse Contratado (R$):</v>
      </c>
      <c r="F9" s="27">
        <v>481104</v>
      </c>
      <c r="J9" s="15" t="s">
        <v>14</v>
      </c>
      <c r="S9" s="16" t="s">
        <v>93</v>
      </c>
      <c r="T9" s="20" t="s">
        <v>32</v>
      </c>
      <c r="U9" s="16" t="s">
        <v>94</v>
      </c>
      <c r="V9" s="20" t="s">
        <v>34</v>
      </c>
    </row>
    <row r="10" spans="5:44" x14ac:dyDescent="0.2">
      <c r="E10" s="25" t="s">
        <v>95</v>
      </c>
      <c r="F10" s="27">
        <v>18896</v>
      </c>
      <c r="J10" s="15" t="s">
        <v>15</v>
      </c>
      <c r="S10" s="16" t="s">
        <v>96</v>
      </c>
      <c r="T10" s="20" t="s">
        <v>53</v>
      </c>
      <c r="U10" s="16" t="s">
        <v>97</v>
      </c>
      <c r="V10" s="17" t="s">
        <v>27</v>
      </c>
    </row>
    <row r="11" spans="5:44" x14ac:dyDescent="0.2">
      <c r="E11" s="25" t="s">
        <v>98</v>
      </c>
      <c r="F11" s="28">
        <v>1E-3</v>
      </c>
      <c r="J11" s="15" t="s">
        <v>16</v>
      </c>
      <c r="S11" s="16" t="s">
        <v>99</v>
      </c>
      <c r="T11" s="20" t="s">
        <v>32</v>
      </c>
    </row>
    <row r="12" spans="5:44" x14ac:dyDescent="0.2">
      <c r="E12" s="25" t="s">
        <v>100</v>
      </c>
      <c r="F12" s="27">
        <v>0.01</v>
      </c>
      <c r="J12" s="15" t="s">
        <v>17</v>
      </c>
      <c r="S12" s="16" t="s">
        <v>35</v>
      </c>
      <c r="T12" s="20" t="s">
        <v>27</v>
      </c>
    </row>
    <row r="13" spans="5:44" x14ac:dyDescent="0.2">
      <c r="E13" s="29" t="s">
        <v>101</v>
      </c>
      <c r="F13" s="30">
        <v>0.04</v>
      </c>
      <c r="J13" s="15" t="s">
        <v>18</v>
      </c>
      <c r="S13" s="16" t="s">
        <v>102</v>
      </c>
      <c r="T13" s="20" t="s">
        <v>32</v>
      </c>
    </row>
    <row r="14" spans="5:44" x14ac:dyDescent="0.2">
      <c r="E14" s="4"/>
      <c r="F14" s="31"/>
      <c r="J14" s="15" t="s">
        <v>19</v>
      </c>
    </row>
    <row r="15" spans="5:44" ht="15" x14ac:dyDescent="0.2">
      <c r="E15" s="668" t="s">
        <v>103</v>
      </c>
      <c r="F15" s="668"/>
      <c r="J15" s="15" t="s">
        <v>20</v>
      </c>
    </row>
    <row r="16" spans="5:44" x14ac:dyDescent="0.2">
      <c r="E16" s="32" t="s">
        <v>104</v>
      </c>
      <c r="F16" s="664" t="s">
        <v>460</v>
      </c>
      <c r="J16" s="15" t="s">
        <v>21</v>
      </c>
    </row>
    <row r="17" spans="5:10" x14ac:dyDescent="0.2">
      <c r="E17" s="25" t="s">
        <v>105</v>
      </c>
      <c r="F17" s="665" t="s">
        <v>460</v>
      </c>
      <c r="J17" s="15" t="s">
        <v>22</v>
      </c>
    </row>
    <row r="18" spans="5:10" x14ac:dyDescent="0.2">
      <c r="E18" s="33" t="s">
        <v>106</v>
      </c>
      <c r="F18" s="34" t="s">
        <v>487</v>
      </c>
      <c r="J18" s="15" t="s">
        <v>23</v>
      </c>
    </row>
    <row r="19" spans="5:10" x14ac:dyDescent="0.2">
      <c r="E19" s="35" t="s">
        <v>107</v>
      </c>
      <c r="F19" s="36">
        <v>45231</v>
      </c>
      <c r="J19" s="15" t="s">
        <v>24</v>
      </c>
    </row>
    <row r="20" spans="5:10" x14ac:dyDescent="0.2">
      <c r="E20" s="37"/>
      <c r="F20" s="38"/>
      <c r="J20" s="15"/>
    </row>
    <row r="21" spans="5:10" ht="15" x14ac:dyDescent="0.2">
      <c r="E21" s="668" t="s">
        <v>108</v>
      </c>
      <c r="F21" s="668"/>
      <c r="J21" s="15"/>
    </row>
    <row r="22" spans="5:10" x14ac:dyDescent="0.2">
      <c r="E22" s="23" t="s">
        <v>109</v>
      </c>
      <c r="F22" s="661" t="s">
        <v>445</v>
      </c>
    </row>
    <row r="23" spans="5:10" x14ac:dyDescent="0.2">
      <c r="E23" s="25" t="s">
        <v>110</v>
      </c>
      <c r="F23" s="657" t="s">
        <v>448</v>
      </c>
    </row>
    <row r="24" spans="5:10" x14ac:dyDescent="0.2">
      <c r="E24" s="25" t="s">
        <v>111</v>
      </c>
      <c r="F24" s="657" t="s">
        <v>468</v>
      </c>
    </row>
    <row r="25" spans="5:10" x14ac:dyDescent="0.2">
      <c r="E25" s="29" t="s">
        <v>112</v>
      </c>
      <c r="F25" s="39">
        <v>45391</v>
      </c>
    </row>
    <row r="26" spans="5:10" x14ac:dyDescent="0.2">
      <c r="E26" s="37"/>
      <c r="F26" s="37"/>
    </row>
    <row r="27" spans="5:10" ht="15" x14ac:dyDescent="0.2">
      <c r="E27" s="668" t="s">
        <v>113</v>
      </c>
      <c r="F27" s="668"/>
    </row>
    <row r="28" spans="5:10" x14ac:dyDescent="0.2">
      <c r="E28" s="21" t="s">
        <v>109</v>
      </c>
      <c r="F28" s="662" t="s">
        <v>459</v>
      </c>
    </row>
    <row r="29" spans="5:10" x14ac:dyDescent="0.2">
      <c r="E29" s="29" t="s">
        <v>114</v>
      </c>
      <c r="F29" s="663" t="s">
        <v>441</v>
      </c>
    </row>
    <row r="30" spans="5:10" ht="15.75" x14ac:dyDescent="0.2">
      <c r="E30" s="10"/>
    </row>
    <row r="31" spans="5:10" ht="12.75" customHeight="1" x14ac:dyDescent="0.2">
      <c r="E31" s="10"/>
    </row>
    <row r="32" spans="5:10" ht="12.75" customHeight="1" x14ac:dyDescent="0.2">
      <c r="E32" s="10" t="s">
        <v>115</v>
      </c>
    </row>
    <row r="33" spans="5:6" ht="15.75" x14ac:dyDescent="0.2">
      <c r="E33" s="10"/>
    </row>
    <row r="34" spans="5:6" ht="12.75" customHeight="1" x14ac:dyDescent="0.2">
      <c r="E34" s="670" t="s">
        <v>116</v>
      </c>
      <c r="F34" s="670"/>
    </row>
    <row r="35" spans="5:6" x14ac:dyDescent="0.2">
      <c r="E35" s="21" t="s">
        <v>117</v>
      </c>
      <c r="F35" s="40"/>
    </row>
    <row r="36" spans="5:6" x14ac:dyDescent="0.2">
      <c r="E36" s="41" t="s">
        <v>118</v>
      </c>
      <c r="F36" s="24"/>
    </row>
    <row r="37" spans="5:6" x14ac:dyDescent="0.2">
      <c r="E37" s="33" t="s">
        <v>119</v>
      </c>
      <c r="F37" s="26"/>
    </row>
    <row r="38" spans="5:6" x14ac:dyDescent="0.2">
      <c r="E38" s="33" t="s">
        <v>120</v>
      </c>
      <c r="F38" s="26"/>
    </row>
    <row r="39" spans="5:6" x14ac:dyDescent="0.2">
      <c r="E39" s="33" t="s">
        <v>121</v>
      </c>
      <c r="F39" s="34" t="s">
        <v>464</v>
      </c>
    </row>
    <row r="40" spans="5:6" x14ac:dyDescent="0.2">
      <c r="E40" s="42" t="s">
        <v>122</v>
      </c>
      <c r="F40" s="43">
        <v>45231</v>
      </c>
    </row>
    <row r="41" spans="5:6" ht="15.75" x14ac:dyDescent="0.2">
      <c r="E41" s="10"/>
    </row>
    <row r="42" spans="5:6" ht="12.75" customHeight="1" x14ac:dyDescent="0.2">
      <c r="E42" s="10"/>
    </row>
    <row r="43" spans="5:6" ht="12.75" customHeight="1" x14ac:dyDescent="0.2">
      <c r="E43" s="10" t="s">
        <v>123</v>
      </c>
    </row>
    <row r="44" spans="5:6" ht="15.75" x14ac:dyDescent="0.2">
      <c r="E44" s="10"/>
    </row>
    <row r="45" spans="5:6" ht="12.75" customHeight="1" x14ac:dyDescent="0.2">
      <c r="E45" s="668" t="s">
        <v>124</v>
      </c>
      <c r="F45" s="668"/>
    </row>
    <row r="46" spans="5:6" x14ac:dyDescent="0.2">
      <c r="E46" s="21" t="s">
        <v>125</v>
      </c>
      <c r="F46" s="40"/>
    </row>
    <row r="47" spans="5:6" x14ac:dyDescent="0.2">
      <c r="E47" s="35" t="s">
        <v>126</v>
      </c>
      <c r="F47" s="44"/>
    </row>
    <row r="48" spans="5:6" ht="15.75" x14ac:dyDescent="0.2">
      <c r="E48" s="10"/>
    </row>
    <row r="49" spans="5:6" ht="12.75" customHeight="1" x14ac:dyDescent="0.2">
      <c r="E49" s="668" t="s">
        <v>127</v>
      </c>
      <c r="F49" s="668"/>
    </row>
    <row r="50" spans="5:6" x14ac:dyDescent="0.2">
      <c r="E50" s="21" t="s">
        <v>109</v>
      </c>
      <c r="F50" s="45" t="s">
        <v>445</v>
      </c>
    </row>
    <row r="51" spans="5:6" x14ac:dyDescent="0.2">
      <c r="E51" s="25" t="s">
        <v>128</v>
      </c>
      <c r="F51" s="26" t="s">
        <v>447</v>
      </c>
    </row>
    <row r="52" spans="5:6" x14ac:dyDescent="0.2">
      <c r="E52" s="25" t="s">
        <v>129</v>
      </c>
      <c r="F52" s="26" t="s">
        <v>448</v>
      </c>
    </row>
    <row r="53" spans="5:6" x14ac:dyDescent="0.2">
      <c r="E53" s="29" t="s">
        <v>130</v>
      </c>
      <c r="F53" s="46" t="s">
        <v>468</v>
      </c>
    </row>
    <row r="54" spans="5:6" x14ac:dyDescent="0.2">
      <c r="E54" s="37"/>
      <c r="F54" s="38"/>
    </row>
    <row r="56" spans="5:6" ht="15.75" x14ac:dyDescent="0.2">
      <c r="E56" s="10" t="s">
        <v>131</v>
      </c>
    </row>
    <row r="57" spans="5:6" ht="16.5" thickBot="1" x14ac:dyDescent="0.25">
      <c r="E57" s="10"/>
    </row>
    <row r="58" spans="5:6" ht="15.75" thickBot="1" x14ac:dyDescent="0.25">
      <c r="E58" s="668" t="s">
        <v>132</v>
      </c>
      <c r="F58" s="668"/>
    </row>
    <row r="59" spans="5:6" x14ac:dyDescent="0.2">
      <c r="E59" s="21" t="s">
        <v>109</v>
      </c>
      <c r="F59" s="47"/>
    </row>
    <row r="60" spans="5:6" ht="13.5" thickBot="1" x14ac:dyDescent="0.25">
      <c r="E60" s="35" t="s">
        <v>133</v>
      </c>
      <c r="F60" s="48"/>
    </row>
  </sheetData>
  <sheetCalcPr fullCalcOnLoad="1"/>
  <sheetProtection password="BD1F" sheet="1" objects="1" scenarios="1" autoFilter="0"/>
  <mergeCells count="9">
    <mergeCell ref="E49:F49"/>
    <mergeCell ref="E58:F58"/>
    <mergeCell ref="L1:AR1"/>
    <mergeCell ref="E3:F3"/>
    <mergeCell ref="E15:F15"/>
    <mergeCell ref="E21:F21"/>
    <mergeCell ref="E27:F27"/>
    <mergeCell ref="E34:F34"/>
    <mergeCell ref="E45:F45"/>
  </mergeCells>
  <phoneticPr fontId="40" type="noConversion"/>
  <conditionalFormatting sqref="E56:F57">
    <cfRule type="expression" dxfId="333" priority="2" stopIfTrue="1">
      <formula>CAIXA.Modo=FALSE</formula>
    </cfRule>
  </conditionalFormatting>
  <conditionalFormatting sqref="E58:F60">
    <cfRule type="expression" dxfId="332" priority="3" stopIfTrue="1">
      <formula>CAIXA.Modo=FALSE</formula>
    </cfRule>
  </conditionalFormatting>
  <dataValidations count="6">
    <dataValidation type="date" allowBlank="1" showErrorMessage="1" errorTitle="Dados inválidos" error="Digite somente datas válidas no formato mm/aaaa." sqref="F19 F25 F35 F40 F46:F47">
      <formula1>36526</formula1>
      <formula2>72686</formula2>
    </dataValidation>
    <dataValidation type="list" allowBlank="1" showErrorMessage="1" sqref="F18">
      <formula1>"(SELECIONAR),NÃO SE APLICA,DESONERADO,NÃO DESONERADO"</formula1>
      <formula2>0</formula2>
    </dataValidation>
    <dataValidation type="decimal" allowBlank="1" showErrorMessage="1" error="Digite um valor em percentual._x000a__x000a_Ou seja um valor de 0% (zero) até 100% (cem). " sqref="F11 F13:F14">
      <formula1>0</formula1>
      <formula2>1</formula2>
    </dataValidation>
    <dataValidation type="list" allowBlank="1" showErrorMessage="1" sqref="F4">
      <formula1>"(SELECIONAR),OGU,FGTS"</formula1>
      <formula2>0</formula2>
    </dataValidation>
    <dataValidation type="decimal" operator="greaterThan" allowBlank="1" showErrorMessage="1" error="Digite um valor maior do que 0." sqref="F12">
      <formula1>0</formula1>
      <formula2>0</formula2>
    </dataValidation>
    <dataValidation type="list" allowBlank="1" showErrorMessage="1" sqref="F39">
      <formula1>"(SELECIONAR),INDEFINIDO / NÃO SE APLICA,EMPREITADA POR PREÇO GLOBAL,EMPREITADA POR PREÇO UNITÁRIO,EMPREITADA INTEGRAL,TAREFA,CONTRATAÇÃO INTEGRADA,ADM. DIRETA"</formula1>
      <formula2>0</formula2>
    </dataValidation>
  </dataValidations>
  <pageMargins left="0.78740157480314998" right="0.78740157480314998" top="0.78740157480314998" bottom="0.78740157480314998" header="5.7086614173228396" footer="0.59055118110236204"/>
  <pageSetup paperSize="9" scale="65" firstPageNumber="0" fitToHeight="0" orientation="portrait" horizontalDpi="300" verticalDpi="300" r:id="rId1"/>
  <headerFooter alignWithMargins="0">
    <oddHeader>&amp;L_</oddHeader>
    <oddFooter>&amp;LPMv3.0.4&amp;R&amp;P /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3:E47"/>
  <sheetViews>
    <sheetView showGridLines="0" zoomScale="90" zoomScaleNormal="90" workbookViewId="0">
      <pane ySplit="3" topLeftCell="A4" activePane="bottomLeft" state="frozen"/>
      <selection pane="bottomLeft" activeCell="E27" sqref="E27"/>
    </sheetView>
  </sheetViews>
  <sheetFormatPr defaultRowHeight="12.75" x14ac:dyDescent="0.2"/>
  <cols>
    <col min="1" max="1" width="8.7109375" customWidth="1"/>
    <col min="2" max="2" width="5.7109375" customWidth="1"/>
    <col min="3" max="3" width="3.7109375" customWidth="1"/>
  </cols>
  <sheetData>
    <row r="3" spans="1:4" ht="36.75" customHeight="1" x14ac:dyDescent="0.35">
      <c r="B3" s="49" t="s">
        <v>134</v>
      </c>
    </row>
    <row r="5" spans="1:4" ht="18.75" x14ac:dyDescent="0.3">
      <c r="A5" s="50"/>
      <c r="B5" s="51"/>
      <c r="C5" s="51"/>
      <c r="D5" s="52"/>
    </row>
    <row r="6" spans="1:4" ht="18.75" x14ac:dyDescent="0.3">
      <c r="A6" s="53" t="s">
        <v>135</v>
      </c>
      <c r="B6" s="54"/>
      <c r="C6" s="54"/>
      <c r="D6" s="37"/>
    </row>
    <row r="7" spans="1:4" ht="15" x14ac:dyDescent="0.25">
      <c r="A7" s="55"/>
      <c r="B7" s="56" t="s">
        <v>136</v>
      </c>
      <c r="C7" s="56"/>
      <c r="D7" s="37"/>
    </row>
    <row r="8" spans="1:4" ht="15" x14ac:dyDescent="0.25">
      <c r="A8" s="55"/>
      <c r="B8" s="56"/>
      <c r="C8" s="57" t="str">
        <f>IF(D8&lt;&gt;"","▪","")</f>
        <v>▪</v>
      </c>
      <c r="D8" s="37" t="s">
        <v>137</v>
      </c>
    </row>
    <row r="9" spans="1:4" ht="15" x14ac:dyDescent="0.25">
      <c r="A9" s="55"/>
      <c r="B9" s="58"/>
      <c r="C9" s="59" t="str">
        <f>IF(D9&lt;&gt;"","▪","")</f>
        <v/>
      </c>
      <c r="D9" s="60"/>
    </row>
    <row r="10" spans="1:4" ht="18.75" x14ac:dyDescent="0.3">
      <c r="A10" s="648" t="s">
        <v>413</v>
      </c>
      <c r="B10" s="649"/>
      <c r="C10" s="649"/>
      <c r="D10" s="650"/>
    </row>
    <row r="11" spans="1:4" ht="15" x14ac:dyDescent="0.25">
      <c r="A11" s="55"/>
      <c r="B11" s="56" t="s">
        <v>136</v>
      </c>
      <c r="C11" s="56"/>
      <c r="D11" s="37"/>
    </row>
    <row r="12" spans="1:4" ht="15" x14ac:dyDescent="0.25">
      <c r="A12" s="55"/>
      <c r="B12" s="56"/>
      <c r="C12" s="57" t="str">
        <f>IF(D12&lt;&gt;"","▪","")</f>
        <v>▪</v>
      </c>
      <c r="D12" s="37" t="s">
        <v>416</v>
      </c>
    </row>
    <row r="13" spans="1:4" ht="15" x14ac:dyDescent="0.25">
      <c r="A13" s="55"/>
      <c r="B13" s="56" t="s">
        <v>414</v>
      </c>
      <c r="C13" s="56"/>
      <c r="D13" s="37"/>
    </row>
    <row r="14" spans="1:4" ht="15" x14ac:dyDescent="0.25">
      <c r="A14" s="549"/>
      <c r="B14" s="56"/>
      <c r="C14" s="57" t="str">
        <f>IF(D14&lt;&gt;"","▪","")</f>
        <v>▪</v>
      </c>
      <c r="D14" s="37" t="s">
        <v>417</v>
      </c>
    </row>
    <row r="15" spans="1:4" ht="15" x14ac:dyDescent="0.2">
      <c r="A15" s="549"/>
      <c r="C15" s="57" t="str">
        <f>IF(D15&lt;&gt;"","▪","")</f>
        <v>▪</v>
      </c>
      <c r="D15" s="37" t="s">
        <v>418</v>
      </c>
    </row>
    <row r="16" spans="1:4" x14ac:dyDescent="0.2">
      <c r="A16" s="554"/>
    </row>
    <row r="17" spans="1:4" ht="18.75" x14ac:dyDescent="0.3">
      <c r="A17" s="648" t="s">
        <v>420</v>
      </c>
      <c r="B17" s="649"/>
      <c r="C17" s="649"/>
      <c r="D17" s="650"/>
    </row>
    <row r="18" spans="1:4" ht="15" x14ac:dyDescent="0.25">
      <c r="A18" s="55"/>
      <c r="B18" s="56" t="s">
        <v>136</v>
      </c>
      <c r="C18" s="56"/>
      <c r="D18" s="37"/>
    </row>
    <row r="19" spans="1:4" ht="15" x14ac:dyDescent="0.25">
      <c r="A19" s="55"/>
      <c r="B19" s="56"/>
      <c r="C19" s="57" t="str">
        <f>IF(D19&lt;&gt;"","▪","")</f>
        <v>▪</v>
      </c>
      <c r="D19" s="37" t="s">
        <v>416</v>
      </c>
    </row>
    <row r="20" spans="1:4" ht="15" x14ac:dyDescent="0.25">
      <c r="A20" s="55"/>
      <c r="B20" s="56"/>
      <c r="C20" s="57" t="str">
        <f>IF(D20&lt;&gt;"","▪","")</f>
        <v>▪</v>
      </c>
      <c r="D20" s="37" t="s">
        <v>429</v>
      </c>
    </row>
    <row r="21" spans="1:4" ht="15" x14ac:dyDescent="0.25">
      <c r="A21" s="549"/>
      <c r="B21" s="56" t="s">
        <v>427</v>
      </c>
      <c r="C21" s="56"/>
      <c r="D21" s="37"/>
    </row>
    <row r="22" spans="1:4" ht="15" x14ac:dyDescent="0.25">
      <c r="A22" s="549"/>
      <c r="B22" s="56"/>
      <c r="C22" s="57" t="str">
        <f>IF(D22&lt;&gt;"","▪","")</f>
        <v>▪</v>
      </c>
      <c r="D22" s="37" t="s">
        <v>428</v>
      </c>
    </row>
    <row r="23" spans="1:4" ht="15" x14ac:dyDescent="0.25">
      <c r="A23" s="549"/>
      <c r="B23" s="56" t="s">
        <v>421</v>
      </c>
      <c r="C23" s="56"/>
      <c r="D23" s="37"/>
    </row>
    <row r="24" spans="1:4" ht="15" x14ac:dyDescent="0.25">
      <c r="A24" s="549"/>
      <c r="B24" s="56"/>
      <c r="C24" s="57" t="str">
        <f>IF(D24&lt;&gt;"","▪","")</f>
        <v>▪</v>
      </c>
      <c r="D24" s="37" t="s">
        <v>425</v>
      </c>
    </row>
    <row r="25" spans="1:4" ht="15" x14ac:dyDescent="0.25">
      <c r="A25" s="549"/>
      <c r="B25" s="56" t="s">
        <v>422</v>
      </c>
      <c r="C25" s="56"/>
      <c r="D25" s="37"/>
    </row>
    <row r="26" spans="1:4" ht="15" x14ac:dyDescent="0.25">
      <c r="A26" s="549"/>
      <c r="B26" s="56"/>
      <c r="C26" s="57" t="str">
        <f>IF(D26&lt;&gt;"","▪","")</f>
        <v>▪</v>
      </c>
      <c r="D26" s="37" t="s">
        <v>424</v>
      </c>
    </row>
    <row r="27" spans="1:4" ht="15" x14ac:dyDescent="0.25">
      <c r="A27" s="549"/>
      <c r="B27" s="56" t="s">
        <v>426</v>
      </c>
      <c r="C27" s="56"/>
      <c r="D27" s="37"/>
    </row>
    <row r="28" spans="1:4" ht="15" x14ac:dyDescent="0.25">
      <c r="A28" s="549"/>
      <c r="B28" s="56"/>
      <c r="C28" s="57" t="str">
        <f>IF(D28&lt;&gt;"","▪","")</f>
        <v>▪</v>
      </c>
      <c r="D28" s="37" t="s">
        <v>423</v>
      </c>
    </row>
    <row r="29" spans="1:4" x14ac:dyDescent="0.2">
      <c r="A29" s="554"/>
    </row>
    <row r="30" spans="1:4" ht="18.75" x14ac:dyDescent="0.3">
      <c r="A30" s="648" t="s">
        <v>430</v>
      </c>
      <c r="B30" s="649"/>
      <c r="C30" s="649"/>
      <c r="D30" s="650"/>
    </row>
    <row r="31" spans="1:4" ht="15" x14ac:dyDescent="0.25">
      <c r="A31" s="55"/>
      <c r="B31" s="56" t="s">
        <v>136</v>
      </c>
      <c r="C31" s="56"/>
      <c r="D31" s="37"/>
    </row>
    <row r="32" spans="1:4" ht="15" x14ac:dyDescent="0.25">
      <c r="A32" s="55"/>
      <c r="B32" s="56"/>
      <c r="C32" s="57" t="str">
        <f>IF(D32&lt;&gt;"","▪","")</f>
        <v>▪</v>
      </c>
      <c r="D32" s="37" t="s">
        <v>429</v>
      </c>
    </row>
    <row r="33" spans="1:5" ht="15" x14ac:dyDescent="0.25">
      <c r="A33" s="55"/>
      <c r="B33" s="56" t="s">
        <v>431</v>
      </c>
      <c r="C33" s="57"/>
      <c r="D33" s="37"/>
    </row>
    <row r="34" spans="1:5" ht="15" x14ac:dyDescent="0.25">
      <c r="A34" s="55"/>
      <c r="B34" s="56"/>
      <c r="C34" s="57" t="str">
        <f>IF(D34&lt;&gt;"","▪","")</f>
        <v>▪</v>
      </c>
      <c r="D34" s="37" t="s">
        <v>432</v>
      </c>
    </row>
    <row r="35" spans="1:5" ht="15" x14ac:dyDescent="0.25">
      <c r="A35" s="55"/>
      <c r="B35" s="56"/>
      <c r="C35" s="56"/>
      <c r="D35" s="56"/>
      <c r="E35" s="56"/>
    </row>
    <row r="36" spans="1:5" x14ac:dyDescent="0.2">
      <c r="A36" s="554"/>
    </row>
    <row r="37" spans="1:5" ht="18.75" x14ac:dyDescent="0.3">
      <c r="A37" s="648" t="s">
        <v>433</v>
      </c>
      <c r="B37" s="649"/>
      <c r="C37" s="649"/>
      <c r="D37" s="650"/>
    </row>
    <row r="38" spans="1:5" ht="15" x14ac:dyDescent="0.25">
      <c r="A38" s="55"/>
      <c r="B38" s="56" t="s">
        <v>214</v>
      </c>
      <c r="C38" s="56"/>
      <c r="D38" s="37"/>
    </row>
    <row r="39" spans="1:5" ht="15" x14ac:dyDescent="0.25">
      <c r="A39" s="55"/>
      <c r="B39" s="56"/>
      <c r="C39" s="57" t="str">
        <f>IF(D39&lt;&gt;"","▪","")</f>
        <v>▪</v>
      </c>
      <c r="D39" s="37" t="s">
        <v>434</v>
      </c>
    </row>
    <row r="40" spans="1:5" ht="15" x14ac:dyDescent="0.25">
      <c r="A40" s="55"/>
      <c r="B40" s="56" t="s">
        <v>421</v>
      </c>
      <c r="C40" s="56"/>
      <c r="D40" s="37"/>
    </row>
    <row r="41" spans="1:5" ht="15" x14ac:dyDescent="0.25">
      <c r="A41" s="55"/>
      <c r="B41" s="56"/>
      <c r="C41" s="57" t="str">
        <f>IF(D41&lt;&gt;"","▪","")</f>
        <v>▪</v>
      </c>
      <c r="D41" s="37" t="s">
        <v>435</v>
      </c>
    </row>
    <row r="42" spans="1:5" ht="15" x14ac:dyDescent="0.25">
      <c r="A42" s="55"/>
      <c r="B42" s="56" t="s">
        <v>422</v>
      </c>
      <c r="C42" s="56"/>
      <c r="D42" s="37"/>
      <c r="E42" s="56"/>
    </row>
    <row r="43" spans="1:5" ht="15" x14ac:dyDescent="0.25">
      <c r="A43" s="55"/>
      <c r="B43" s="56"/>
      <c r="C43" s="57" t="str">
        <f>IF(D43&lt;&gt;"","▪","")</f>
        <v>▪</v>
      </c>
      <c r="D43" s="37" t="s">
        <v>436</v>
      </c>
    </row>
    <row r="44" spans="1:5" ht="15" x14ac:dyDescent="0.25">
      <c r="A44" s="55"/>
      <c r="B44" s="56"/>
      <c r="C44" s="56"/>
      <c r="D44" s="56"/>
    </row>
    <row r="45" spans="1:5" ht="18.75" x14ac:dyDescent="0.3">
      <c r="A45" s="648" t="s">
        <v>437</v>
      </c>
      <c r="B45" s="649"/>
      <c r="C45" s="649"/>
      <c r="D45" s="650"/>
    </row>
    <row r="46" spans="1:5" ht="15" x14ac:dyDescent="0.25">
      <c r="A46" s="55"/>
      <c r="B46" s="56" t="s">
        <v>136</v>
      </c>
      <c r="C46" s="56"/>
      <c r="D46" s="37"/>
    </row>
    <row r="47" spans="1:5" ht="15" x14ac:dyDescent="0.25">
      <c r="A47" s="55"/>
      <c r="B47" s="56"/>
      <c r="C47" s="57" t="str">
        <f>IF(D47&lt;&gt;"","▪","")</f>
        <v>▪</v>
      </c>
      <c r="D47" s="37" t="s">
        <v>438</v>
      </c>
    </row>
  </sheetData>
  <sheetProtection password="BD1F" sheet="1" objects="1" scenarios="1" autoFilter="0"/>
  <phoneticPr fontId="40" type="noConversion"/>
  <pageMargins left="0.78740157480314998" right="0.78740157480314998" top="0.78740157480314998" bottom="0.78740157480314998" header="5.7086614173228396" footer="0.59055118110236204"/>
  <pageSetup paperSize="9" firstPageNumber="0" orientation="portrait" horizontalDpi="300" verticalDpi="300" r:id="rId1"/>
  <headerFooter alignWithMargins="0">
    <oddHeader>&amp;L_</oddHeader>
    <oddFooter>&amp;LPMv3.0.4&amp;R&amp;P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 filterMode="1">
    <pageSetUpPr fitToPage="1"/>
  </sheetPr>
  <dimension ref="A1:Z146"/>
  <sheetViews>
    <sheetView showGridLines="0" topLeftCell="H1" zoomScale="90" zoomScaleNormal="90" zoomScaleSheetLayoutView="100" workbookViewId="0">
      <pane ySplit="11" topLeftCell="A15" activePane="bottomLeft" state="frozen"/>
      <selection activeCell="E1" sqref="E1"/>
      <selection pane="bottomLeft" activeCell="Q15" sqref="Q15"/>
    </sheetView>
  </sheetViews>
  <sheetFormatPr defaultRowHeight="12.75" x14ac:dyDescent="0.2"/>
  <cols>
    <col min="1" max="4" width="5.7109375" style="61" hidden="1" customWidth="1"/>
    <col min="5" max="5" width="11.28515625" style="61" hidden="1" customWidth="1"/>
    <col min="6" max="6" width="11.42578125" style="61" hidden="1" customWidth="1"/>
    <col min="7" max="7" width="11.85546875" style="61" hidden="1" customWidth="1"/>
    <col min="8" max="8" width="10.7109375" customWidth="1"/>
    <col min="9" max="9" width="3.7109375" customWidth="1"/>
    <col min="10" max="15" width="10.7109375" style="61" customWidth="1"/>
    <col min="16" max="16" width="12.85546875" style="61" customWidth="1"/>
    <col min="17" max="19" width="10.7109375" style="61" customWidth="1"/>
  </cols>
  <sheetData>
    <row r="1" spans="1:19" ht="15.75" x14ac:dyDescent="0.25">
      <c r="E1" s="62" t="s">
        <v>138</v>
      </c>
      <c r="F1" s="62" t="s">
        <v>139</v>
      </c>
      <c r="G1" s="62" t="s">
        <v>140</v>
      </c>
      <c r="O1" s="63" t="str">
        <f>"Quadro de Composição do BDI"</f>
        <v>Quadro de Composição do BDI</v>
      </c>
      <c r="R1" s="699" t="s">
        <v>141</v>
      </c>
      <c r="S1" s="699"/>
    </row>
    <row r="2" spans="1:19" x14ac:dyDescent="0.2">
      <c r="A2" s="61" t="s">
        <v>142</v>
      </c>
      <c r="B2" s="65" t="s">
        <v>143</v>
      </c>
      <c r="C2" s="61" t="str">
        <f t="shared" ref="C2:C49" si="0">CONCATENATE(A2,"-",B2)</f>
        <v>Construção e Reforma de Edifícios-AC</v>
      </c>
      <c r="E2" s="66">
        <v>0.03</v>
      </c>
      <c r="F2" s="66">
        <v>0.04</v>
      </c>
      <c r="G2" s="66">
        <v>5.5E-2</v>
      </c>
      <c r="R2" s="700" t="s">
        <v>144</v>
      </c>
      <c r="S2" s="700"/>
    </row>
    <row r="3" spans="1:19" x14ac:dyDescent="0.2">
      <c r="A3" s="61" t="str">
        <f>A2</f>
        <v>Construção e Reforma de Edifícios</v>
      </c>
      <c r="B3" s="65" t="s">
        <v>145</v>
      </c>
      <c r="C3" s="61" t="str">
        <f t="shared" si="0"/>
        <v>Construção e Reforma de Edifícios-SG</v>
      </c>
      <c r="E3" s="66">
        <v>8.0000000000000002E-3</v>
      </c>
      <c r="F3" s="66">
        <v>8.0000000000000002E-3</v>
      </c>
      <c r="G3" s="66">
        <v>0.01</v>
      </c>
    </row>
    <row r="4" spans="1:19" x14ac:dyDescent="0.2">
      <c r="A4" s="61" t="str">
        <f>A3</f>
        <v>Construção e Reforma de Edifícios</v>
      </c>
      <c r="B4" s="65" t="s">
        <v>146</v>
      </c>
      <c r="C4" s="61" t="str">
        <f t="shared" si="0"/>
        <v>Construção e Reforma de Edifícios-R</v>
      </c>
      <c r="E4" s="66">
        <v>9.7000000000000003E-3</v>
      </c>
      <c r="F4" s="66">
        <v>1.2699999999999999E-2</v>
      </c>
      <c r="G4" s="66">
        <v>1.2699999999999999E-2</v>
      </c>
      <c r="J4" s="689" t="s">
        <v>147</v>
      </c>
      <c r="K4" s="689"/>
      <c r="L4" s="689" t="s">
        <v>148</v>
      </c>
      <c r="M4" s="689"/>
      <c r="N4" s="689" t="s">
        <v>149</v>
      </c>
      <c r="O4" s="689"/>
      <c r="P4" s="689"/>
      <c r="Q4" s="689"/>
      <c r="R4" s="689"/>
      <c r="S4" s="689"/>
    </row>
    <row r="5" spans="1:19" ht="12.75" customHeight="1" x14ac:dyDescent="0.2">
      <c r="A5" s="61" t="str">
        <f>A4</f>
        <v>Construção e Reforma de Edifícios</v>
      </c>
      <c r="B5" s="65" t="s">
        <v>150</v>
      </c>
      <c r="C5" s="61" t="str">
        <f t="shared" si="0"/>
        <v>Construção e Reforma de Edifícios-DF</v>
      </c>
      <c r="E5" s="66">
        <v>5.8999999999999999E-3</v>
      </c>
      <c r="F5" s="66">
        <v>1.23E-2</v>
      </c>
      <c r="G5" s="66">
        <v>1.3899999999999999E-2</v>
      </c>
      <c r="J5" s="698" t="str">
        <f>Import.CR</f>
        <v>1090.502-01/2023</v>
      </c>
      <c r="K5" s="698"/>
      <c r="L5" s="698" t="str">
        <f>Import.SICONV</f>
        <v>950338/2023</v>
      </c>
      <c r="M5" s="698"/>
      <c r="N5" s="698" t="str">
        <f>Import.Proponente</f>
        <v>PREFEITURA MUNICIPAL DE CONCEIÇÃO DOS OUROS</v>
      </c>
      <c r="O5" s="698"/>
      <c r="P5" s="698"/>
      <c r="Q5" s="698"/>
      <c r="R5" s="698"/>
      <c r="S5" s="698"/>
    </row>
    <row r="6" spans="1:19" x14ac:dyDescent="0.2">
      <c r="A6" s="61" t="str">
        <f>A5</f>
        <v>Construção e Reforma de Edifícios</v>
      </c>
      <c r="B6" s="65" t="s">
        <v>151</v>
      </c>
      <c r="C6" s="61" t="str">
        <f t="shared" si="0"/>
        <v>Construção e Reforma de Edifícios-L</v>
      </c>
      <c r="E6" s="66">
        <v>6.1600000000000002E-2</v>
      </c>
      <c r="F6" s="66">
        <v>7.400000000000001E-2</v>
      </c>
      <c r="G6" s="66">
        <v>8.9600000000000013E-2</v>
      </c>
      <c r="I6" s="678" t="s">
        <v>211</v>
      </c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1:19" ht="25.5" x14ac:dyDescent="0.2">
      <c r="A7" s="61" t="str">
        <f>A6</f>
        <v>Construção e Reforma de Edifícios</v>
      </c>
      <c r="B7" s="70" t="s">
        <v>152</v>
      </c>
      <c r="C7" s="61" t="str">
        <f t="shared" si="0"/>
        <v>Construção e Reforma de Edifícios-BDI PAD</v>
      </c>
      <c r="E7" s="66">
        <v>0.2034</v>
      </c>
      <c r="F7" s="66">
        <v>0.22120000000000001</v>
      </c>
      <c r="G7" s="66">
        <v>0.25</v>
      </c>
      <c r="I7" s="678"/>
      <c r="J7" s="689" t="s">
        <v>153</v>
      </c>
      <c r="K7" s="689"/>
      <c r="L7" s="689"/>
      <c r="M7" s="689"/>
      <c r="N7" s="689"/>
      <c r="O7" s="689"/>
      <c r="P7" s="689"/>
      <c r="Q7" s="689"/>
      <c r="R7" s="689"/>
      <c r="S7" s="689"/>
    </row>
    <row r="8" spans="1:19" x14ac:dyDescent="0.2">
      <c r="A8" s="61" t="s">
        <v>154</v>
      </c>
      <c r="B8" s="65" t="s">
        <v>143</v>
      </c>
      <c r="C8" s="61" t="str">
        <f t="shared" si="0"/>
        <v>Construção de Praças Urbanas, Rodovias, Ferrovias e recapeamento e pavimentação de vias urbanas-AC</v>
      </c>
      <c r="E8" s="66">
        <v>3.7999999999999999E-2</v>
      </c>
      <c r="F8" s="66">
        <v>4.0099999999999997E-2</v>
      </c>
      <c r="G8" s="66">
        <v>4.6699999999999998E-2</v>
      </c>
      <c r="I8" s="678"/>
      <c r="J8" s="696" t="str">
        <f>Import.Apelido&amp;" / "&amp;Import.DescLote</f>
        <v>Adequação de Estradas Vicinais / Adequação de Estradas Vicinais</v>
      </c>
      <c r="K8" s="696"/>
      <c r="L8" s="696"/>
      <c r="M8" s="696"/>
      <c r="N8" s="696"/>
      <c r="O8" s="696"/>
      <c r="P8" s="696"/>
      <c r="Q8" s="696"/>
      <c r="R8" s="696"/>
      <c r="S8" s="696"/>
    </row>
    <row r="9" spans="1:19" x14ac:dyDescent="0.2">
      <c r="A9" s="61" t="s">
        <v>154</v>
      </c>
      <c r="B9" s="65" t="s">
        <v>145</v>
      </c>
      <c r="C9" s="61" t="str">
        <f t="shared" si="0"/>
        <v>Construção de Praças Urbanas, Rodovias, Ferrovias e recapeamento e pavimentação de vias urbanas-SG</v>
      </c>
      <c r="E9" s="66">
        <v>3.2000000000000002E-3</v>
      </c>
      <c r="F9" s="66">
        <v>4.0000000000000001E-3</v>
      </c>
      <c r="G9" s="66">
        <v>7.4000000000000003E-3</v>
      </c>
      <c r="I9" s="678"/>
      <c r="J9" s="69"/>
      <c r="K9" s="69"/>
      <c r="L9" s="69"/>
      <c r="M9" s="69"/>
      <c r="N9" s="69"/>
      <c r="O9" s="69"/>
      <c r="P9" s="69"/>
      <c r="Q9" s="69"/>
      <c r="R9" s="69"/>
      <c r="S9" s="69"/>
    </row>
    <row r="10" spans="1:19" ht="12.75" customHeight="1" x14ac:dyDescent="0.2">
      <c r="A10" s="61" t="s">
        <v>154</v>
      </c>
      <c r="B10" s="65" t="s">
        <v>146</v>
      </c>
      <c r="C10" s="61" t="str">
        <f t="shared" si="0"/>
        <v>Construção de Praças Urbanas, Rodovias, Ferrovias e recapeamento e pavimentação de vias urbanas-R</v>
      </c>
      <c r="E10" s="66">
        <v>5.0000000000000001E-3</v>
      </c>
      <c r="F10" s="66">
        <v>5.6000000000000008E-3</v>
      </c>
      <c r="G10" s="66">
        <v>9.7000000000000003E-3</v>
      </c>
      <c r="I10" s="678"/>
      <c r="J10" s="697" t="s">
        <v>155</v>
      </c>
      <c r="K10" s="697"/>
      <c r="L10" s="697"/>
      <c r="M10" s="697"/>
      <c r="N10" s="697"/>
      <c r="O10" s="697"/>
      <c r="P10" s="697"/>
      <c r="Q10" s="697"/>
      <c r="R10" s="695">
        <v>1</v>
      </c>
      <c r="S10" s="695"/>
    </row>
    <row r="11" spans="1:19" ht="12.75" customHeight="1" x14ac:dyDescent="0.2">
      <c r="A11" s="61" t="s">
        <v>154</v>
      </c>
      <c r="B11" s="65" t="s">
        <v>150</v>
      </c>
      <c r="C11" s="61" t="str">
        <f t="shared" si="0"/>
        <v>Construção de Praças Urbanas, Rodovias, Ferrovias e recapeamento e pavimentação de vias urbanas-DF</v>
      </c>
      <c r="E11" s="66">
        <v>1.0200000000000001E-2</v>
      </c>
      <c r="F11" s="66">
        <v>1.11E-2</v>
      </c>
      <c r="G11" s="66">
        <v>1.21E-2</v>
      </c>
      <c r="I11" s="131" t="s">
        <v>219</v>
      </c>
      <c r="J11" s="694" t="s">
        <v>156</v>
      </c>
      <c r="K11" s="694"/>
      <c r="L11" s="694"/>
      <c r="M11" s="694"/>
      <c r="N11" s="694"/>
      <c r="O11" s="694"/>
      <c r="P11" s="694"/>
      <c r="Q11" s="694"/>
      <c r="R11" s="695">
        <v>0.03</v>
      </c>
      <c r="S11" s="695"/>
    </row>
    <row r="12" spans="1:19" x14ac:dyDescent="0.2">
      <c r="A12" s="61" t="s">
        <v>154</v>
      </c>
      <c r="B12" s="65" t="s">
        <v>151</v>
      </c>
      <c r="C12" s="61" t="str">
        <f t="shared" si="0"/>
        <v>Construção de Praças Urbanas, Rodovias, Ferrovias e recapeamento e pavimentação de vias urbanas-L</v>
      </c>
      <c r="E12" s="66">
        <v>6.6400000000000001E-2</v>
      </c>
      <c r="F12" s="66">
        <v>7.2999999999999995E-2</v>
      </c>
      <c r="G12" s="66">
        <v>8.6899999999999991E-2</v>
      </c>
      <c r="I12" t="s">
        <v>248</v>
      </c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19" ht="25.5" x14ac:dyDescent="0.2">
      <c r="A13" s="61" t="s">
        <v>154</v>
      </c>
      <c r="B13" s="70" t="s">
        <v>152</v>
      </c>
      <c r="C13" s="61" t="str">
        <f t="shared" si="0"/>
        <v>Construção de Praças Urbanas, Rodovias, Ferrovias e recapeamento e pavimentação de vias urbanas-BDI PAD</v>
      </c>
      <c r="E13" s="66">
        <v>0.19600000000000001</v>
      </c>
      <c r="F13" s="66">
        <v>0.2097</v>
      </c>
      <c r="G13" s="66">
        <v>0.24230000000000002</v>
      </c>
      <c r="I13" t="s">
        <v>248</v>
      </c>
    </row>
    <row r="14" spans="1:19" ht="15.75" x14ac:dyDescent="0.25">
      <c r="A14" s="61" t="s">
        <v>157</v>
      </c>
      <c r="B14" s="65" t="s">
        <v>143</v>
      </c>
      <c r="C14" s="61" t="str">
        <f t="shared" si="0"/>
        <v>Construção de Redes de Abastecimento de Água, Coleta de Esgoto-AC</v>
      </c>
      <c r="E14" s="66">
        <v>3.4300000000000004E-2</v>
      </c>
      <c r="F14" s="66">
        <v>4.9299999999999997E-2</v>
      </c>
      <c r="G14" s="66">
        <v>6.7099999999999993E-2</v>
      </c>
      <c r="I14" t="s">
        <v>248</v>
      </c>
      <c r="J14" s="693" t="s">
        <v>158</v>
      </c>
      <c r="K14" s="693"/>
      <c r="L14" s="693"/>
      <c r="M14" s="693"/>
      <c r="N14" s="693"/>
      <c r="O14" s="693"/>
      <c r="P14" s="693"/>
      <c r="Q14" s="693"/>
      <c r="R14" s="693"/>
      <c r="S14" s="693"/>
    </row>
    <row r="15" spans="1:19" x14ac:dyDescent="0.2">
      <c r="A15" s="61" t="str">
        <f>A14</f>
        <v>Construção de Redes de Abastecimento de Água, Coleta de Esgoto</v>
      </c>
      <c r="B15" s="65" t="s">
        <v>145</v>
      </c>
      <c r="C15" s="61" t="str">
        <f t="shared" si="0"/>
        <v>Construção de Redes de Abastecimento de Água, Coleta de Esgoto-SG</v>
      </c>
      <c r="E15" s="66">
        <v>2.8000000000000004E-3</v>
      </c>
      <c r="F15" s="66">
        <v>4.8999999999999998E-3</v>
      </c>
      <c r="G15" s="66">
        <v>7.4999999999999997E-3</v>
      </c>
      <c r="I15" t="s">
        <v>248</v>
      </c>
    </row>
    <row r="16" spans="1:19" x14ac:dyDescent="0.2">
      <c r="A16" s="61" t="str">
        <f>A15</f>
        <v>Construção de Redes de Abastecimento de Água, Coleta de Esgoto</v>
      </c>
      <c r="B16" s="65" t="s">
        <v>146</v>
      </c>
      <c r="C16" s="61" t="str">
        <f t="shared" si="0"/>
        <v>Construção de Redes de Abastecimento de Água, Coleta de Esgoto-R</v>
      </c>
      <c r="E16" s="66">
        <v>0.01</v>
      </c>
      <c r="F16" s="66">
        <v>1.3899999999999999E-2</v>
      </c>
      <c r="G16" s="66">
        <v>1.7399999999999999E-2</v>
      </c>
      <c r="I16" t="s">
        <v>248</v>
      </c>
      <c r="J16" s="689" t="s">
        <v>159</v>
      </c>
      <c r="K16" s="689"/>
      <c r="L16" s="689"/>
      <c r="M16" s="689"/>
      <c r="N16" s="689"/>
      <c r="O16" s="689"/>
      <c r="P16" s="689"/>
      <c r="Q16" s="689"/>
      <c r="R16" s="689"/>
      <c r="S16" s="689"/>
    </row>
    <row r="17" spans="1:26" x14ac:dyDescent="0.2">
      <c r="A17" s="61" t="str">
        <f>A16</f>
        <v>Construção de Redes de Abastecimento de Água, Coleta de Esgoto</v>
      </c>
      <c r="B17" s="65" t="s">
        <v>150</v>
      </c>
      <c r="C17" s="61" t="str">
        <f t="shared" si="0"/>
        <v>Construção de Redes de Abastecimento de Água, Coleta de Esgoto-DF</v>
      </c>
      <c r="E17" s="66">
        <v>9.3999999999999986E-3</v>
      </c>
      <c r="F17" s="66">
        <v>9.8999999999999991E-3</v>
      </c>
      <c r="G17" s="66">
        <v>1.1699999999999999E-2</v>
      </c>
      <c r="I17" t="s">
        <v>248</v>
      </c>
      <c r="J17" s="690" t="s">
        <v>154</v>
      </c>
      <c r="K17" s="690"/>
      <c r="L17" s="690"/>
      <c r="M17" s="690"/>
      <c r="N17" s="690"/>
      <c r="O17" s="690"/>
      <c r="P17" s="690"/>
      <c r="Q17" s="690"/>
      <c r="R17" s="690"/>
      <c r="S17" s="690"/>
    </row>
    <row r="18" spans="1:26" x14ac:dyDescent="0.2">
      <c r="A18" s="61" t="str">
        <f>A17</f>
        <v>Construção de Redes de Abastecimento de Água, Coleta de Esgoto</v>
      </c>
      <c r="B18" s="65" t="s">
        <v>151</v>
      </c>
      <c r="C18" s="61" t="str">
        <f t="shared" si="0"/>
        <v>Construção de Redes de Abastecimento de Água, Coleta de Esgoto-L</v>
      </c>
      <c r="E18" s="66">
        <v>6.7400000000000002E-2</v>
      </c>
      <c r="F18" s="66">
        <v>8.0399999999999985E-2</v>
      </c>
      <c r="G18" s="66">
        <v>9.4E-2</v>
      </c>
      <c r="I18" t="s">
        <v>248</v>
      </c>
    </row>
    <row r="19" spans="1:26" ht="12.75" customHeight="1" x14ac:dyDescent="0.2">
      <c r="A19" s="61" t="str">
        <f>A18</f>
        <v>Construção de Redes de Abastecimento de Água, Coleta de Esgoto</v>
      </c>
      <c r="B19" s="70" t="s">
        <v>152</v>
      </c>
      <c r="C19" s="61" t="str">
        <f t="shared" si="0"/>
        <v>Construção de Redes de Abastecimento de Água, Coleta de Esgoto-BDI PAD</v>
      </c>
      <c r="E19" s="66">
        <v>0.20760000000000001</v>
      </c>
      <c r="F19" s="66">
        <v>0.24179999999999999</v>
      </c>
      <c r="G19" s="66">
        <v>0.26440000000000002</v>
      </c>
      <c r="I19" t="s">
        <v>248</v>
      </c>
      <c r="J19" s="692" t="s">
        <v>160</v>
      </c>
      <c r="K19" s="692"/>
      <c r="L19" s="692"/>
      <c r="M19" s="692"/>
      <c r="N19" s="692"/>
      <c r="O19" s="692"/>
      <c r="P19" s="692"/>
      <c r="Q19" s="692"/>
      <c r="R19" s="692" t="s">
        <v>161</v>
      </c>
      <c r="S19" s="686" t="s">
        <v>162</v>
      </c>
      <c r="U19" s="686" t="s">
        <v>163</v>
      </c>
      <c r="V19" s="686"/>
      <c r="W19" s="686"/>
      <c r="X19" s="691" t="s">
        <v>164</v>
      </c>
      <c r="Y19" s="691" t="s">
        <v>165</v>
      </c>
      <c r="Z19" s="691" t="s">
        <v>166</v>
      </c>
    </row>
    <row r="20" spans="1:26" ht="12.75" customHeight="1" x14ac:dyDescent="0.2">
      <c r="A20" s="61" t="s">
        <v>167</v>
      </c>
      <c r="B20" s="65" t="s">
        <v>143</v>
      </c>
      <c r="C20" s="61" t="str">
        <f t="shared" si="0"/>
        <v>Construção e Manutenção de Estações e Redes de Distribuição de Energia Elétrica-AC</v>
      </c>
      <c r="E20" s="66">
        <v>5.2900000000000003E-2</v>
      </c>
      <c r="F20" s="66">
        <v>5.9200000000000003E-2</v>
      </c>
      <c r="G20" s="66">
        <v>7.9299999999999995E-2</v>
      </c>
      <c r="I20" t="s">
        <v>248</v>
      </c>
      <c r="J20" s="692"/>
      <c r="K20" s="692"/>
      <c r="L20" s="692"/>
      <c r="M20" s="692"/>
      <c r="N20" s="692"/>
      <c r="O20" s="692"/>
      <c r="P20" s="692"/>
      <c r="Q20" s="692"/>
      <c r="R20" s="692"/>
      <c r="S20" s="686"/>
      <c r="U20" s="686"/>
      <c r="V20" s="686"/>
      <c r="W20" s="686"/>
      <c r="X20" s="691"/>
      <c r="Y20" s="691"/>
      <c r="Z20" s="691"/>
    </row>
    <row r="21" spans="1:26" ht="15" customHeight="1" x14ac:dyDescent="0.2">
      <c r="A21" s="61" t="str">
        <f>A20</f>
        <v>Construção e Manutenção de Estações e Redes de Distribuição de Energia Elétrica</v>
      </c>
      <c r="B21" s="65" t="s">
        <v>145</v>
      </c>
      <c r="C21" s="61" t="str">
        <f t="shared" si="0"/>
        <v>Construção e Manutenção de Estações e Redes de Distribuição de Energia Elétrica-SG</v>
      </c>
      <c r="E21" s="66">
        <v>2.5000000000000001E-3</v>
      </c>
      <c r="F21" s="66">
        <v>5.1000000000000004E-3</v>
      </c>
      <c r="G21" s="66">
        <v>5.6000000000000008E-3</v>
      </c>
      <c r="I21" t="s">
        <v>248</v>
      </c>
      <c r="J21" s="680" t="str">
        <f>IF($J$17=$A$146,"Encargos Sociais incidentes sobre a mão de obra","Administração Central")</f>
        <v>Administração Central</v>
      </c>
      <c r="K21" s="680"/>
      <c r="L21" s="680"/>
      <c r="M21" s="680"/>
      <c r="N21" s="680"/>
      <c r="O21" s="680"/>
      <c r="P21" s="680"/>
      <c r="Q21" s="680"/>
      <c r="R21" s="72" t="str">
        <f>IF($J17=$A$146,"K1","AC")</f>
        <v>AC</v>
      </c>
      <c r="S21" s="73">
        <v>3.7999999999999999E-2</v>
      </c>
      <c r="U21" s="684" t="s">
        <v>168</v>
      </c>
      <c r="V21" s="684"/>
      <c r="W21" s="684"/>
      <c r="X21" s="74">
        <f>VLOOKUP(CONCATENATE(J17,"-",R21),$C$2:$G$136,3,FALSE)</f>
        <v>3.7999999999999999E-2</v>
      </c>
      <c r="Y21" s="74">
        <f>VLOOKUP(CONCATENATE(J17,"-",R21),$C$2:$G$136,4,FALSE)</f>
        <v>4.0099999999999997E-2</v>
      </c>
      <c r="Z21" s="74">
        <f>VLOOKUP(CONCATENATE(J17,"-",R21),$C$2:$G$136,5,FALSE)</f>
        <v>4.6699999999999998E-2</v>
      </c>
    </row>
    <row r="22" spans="1:26" ht="15" customHeight="1" x14ac:dyDescent="0.2">
      <c r="A22" s="61" t="str">
        <f>A21</f>
        <v>Construção e Manutenção de Estações e Redes de Distribuição de Energia Elétrica</v>
      </c>
      <c r="B22" s="65" t="s">
        <v>146</v>
      </c>
      <c r="C22" s="61" t="str">
        <f t="shared" si="0"/>
        <v>Construção e Manutenção de Estações e Redes de Distribuição de Energia Elétrica-R</v>
      </c>
      <c r="E22" s="66">
        <v>0.01</v>
      </c>
      <c r="F22" s="66">
        <v>1.4800000000000001E-2</v>
      </c>
      <c r="G22" s="66">
        <v>1.9699999999999999E-2</v>
      </c>
      <c r="I22" t="s">
        <v>248</v>
      </c>
      <c r="J22" s="680" t="str">
        <f>IF($J$17=$A$146,"Administração Central da empresa ou consultoria - overhead","Seguro e Garantia")</f>
        <v>Seguro e Garantia</v>
      </c>
      <c r="K22" s="680"/>
      <c r="L22" s="680"/>
      <c r="M22" s="680"/>
      <c r="N22" s="680"/>
      <c r="O22" s="680"/>
      <c r="P22" s="680"/>
      <c r="Q22" s="680"/>
      <c r="R22" s="72" t="str">
        <f>IF($J17=$A$146,"K2","SG")</f>
        <v>SG</v>
      </c>
      <c r="S22" s="73">
        <v>3.2000000000000002E-3</v>
      </c>
      <c r="U22" s="684" t="s">
        <v>168</v>
      </c>
      <c r="V22" s="684"/>
      <c r="W22" s="684"/>
      <c r="X22" s="74">
        <f>VLOOKUP(CONCATENATE(J17,"-",R22),$C$2:$G$136,3,FALSE)</f>
        <v>3.2000000000000002E-3</v>
      </c>
      <c r="Y22" s="74">
        <f>VLOOKUP(CONCATENATE(J17,"-",R22),$C$2:$G$136,4,FALSE)</f>
        <v>4.0000000000000001E-3</v>
      </c>
      <c r="Z22" s="74">
        <f>VLOOKUP(CONCATENATE(J17,"-",R22),$C$2:$G$136,5,FALSE)</f>
        <v>7.4000000000000003E-3</v>
      </c>
    </row>
    <row r="23" spans="1:26" ht="15" customHeight="1" x14ac:dyDescent="0.2">
      <c r="A23" s="61" t="str">
        <f>A22</f>
        <v>Construção e Manutenção de Estações e Redes de Distribuição de Energia Elétrica</v>
      </c>
      <c r="B23" s="65" t="s">
        <v>150</v>
      </c>
      <c r="C23" s="61" t="str">
        <f t="shared" si="0"/>
        <v>Construção e Manutenção de Estações e Redes de Distribuição de Energia Elétrica-DF</v>
      </c>
      <c r="E23" s="66">
        <v>1.01E-2</v>
      </c>
      <c r="F23" s="66">
        <v>1.0700000000000001E-2</v>
      </c>
      <c r="G23" s="66">
        <v>1.11E-2</v>
      </c>
      <c r="I23" t="s">
        <v>248</v>
      </c>
      <c r="J23" s="680" t="str">
        <f>IF($J$17=$A$146,"","Risco")</f>
        <v>Risco</v>
      </c>
      <c r="K23" s="680"/>
      <c r="L23" s="680"/>
      <c r="M23" s="680"/>
      <c r="N23" s="680"/>
      <c r="O23" s="680"/>
      <c r="P23" s="680"/>
      <c r="Q23" s="680"/>
      <c r="R23" s="72" t="str">
        <f>IF($J17=$A$146,"","R")</f>
        <v>R</v>
      </c>
      <c r="S23" s="73">
        <v>5.0000000000000001E-3</v>
      </c>
      <c r="U23" s="684" t="s">
        <v>168</v>
      </c>
      <c r="V23" s="684"/>
      <c r="W23" s="684"/>
      <c r="X23" s="74">
        <f>VLOOKUP(CONCATENATE(J17,"-",R23),$C$2:$G$136,3,FALSE)</f>
        <v>5.0000000000000001E-3</v>
      </c>
      <c r="Y23" s="74">
        <f>VLOOKUP(CONCATENATE(J17,"-",R23),$C$2:$G$136,4,FALSE)</f>
        <v>5.6000000000000008E-3</v>
      </c>
      <c r="Z23" s="74">
        <f>VLOOKUP(CONCATENATE(J17,"-",R23),$C$2:$G$136,5,FALSE)</f>
        <v>9.7000000000000003E-3</v>
      </c>
    </row>
    <row r="24" spans="1:26" ht="15" customHeight="1" x14ac:dyDescent="0.2">
      <c r="A24" s="61" t="str">
        <f>A23</f>
        <v>Construção e Manutenção de Estações e Redes de Distribuição de Energia Elétrica</v>
      </c>
      <c r="B24" s="65" t="s">
        <v>151</v>
      </c>
      <c r="C24" s="61" t="str">
        <f t="shared" si="0"/>
        <v>Construção e Manutenção de Estações e Redes de Distribuição de Energia Elétrica-L</v>
      </c>
      <c r="E24" s="66">
        <v>0.08</v>
      </c>
      <c r="F24" s="66">
        <v>8.3100000000000007E-2</v>
      </c>
      <c r="G24" s="66">
        <v>9.5100000000000004E-2</v>
      </c>
      <c r="I24" t="s">
        <v>248</v>
      </c>
      <c r="J24" s="680" t="str">
        <f>IF($J$17=$A$146,"","Despesas Financeiras")</f>
        <v>Despesas Financeiras</v>
      </c>
      <c r="K24" s="680"/>
      <c r="L24" s="680"/>
      <c r="M24" s="680"/>
      <c r="N24" s="680"/>
      <c r="O24" s="680"/>
      <c r="P24" s="680"/>
      <c r="Q24" s="680"/>
      <c r="R24" s="72" t="str">
        <f>IF($J17=$A$146,"","DF")</f>
        <v>DF</v>
      </c>
      <c r="S24" s="73">
        <v>1.0200000000000001E-2</v>
      </c>
      <c r="U24" s="684" t="s">
        <v>168</v>
      </c>
      <c r="V24" s="684"/>
      <c r="W24" s="684"/>
      <c r="X24" s="74">
        <f>VLOOKUP(CONCATENATE(J17,"-",R24),$C$2:$G$136,3,FALSE)</f>
        <v>1.0200000000000001E-2</v>
      </c>
      <c r="Y24" s="74">
        <f>VLOOKUP(CONCATENATE(J17,"-",R24),$C$2:$G$136,4,FALSE)</f>
        <v>1.11E-2</v>
      </c>
      <c r="Z24" s="74">
        <f>VLOOKUP(CONCATENATE(J17,"-",R24),$C$2:$G$136,5,FALSE)</f>
        <v>1.21E-2</v>
      </c>
    </row>
    <row r="25" spans="1:26" ht="15" customHeight="1" x14ac:dyDescent="0.2">
      <c r="A25" s="61" t="str">
        <f>A24</f>
        <v>Construção e Manutenção de Estações e Redes de Distribuição de Energia Elétrica</v>
      </c>
      <c r="B25" s="70" t="s">
        <v>152</v>
      </c>
      <c r="C25" s="61" t="str">
        <f t="shared" si="0"/>
        <v>Construção e Manutenção de Estações e Redes de Distribuição de Energia Elétrica-BDI PAD</v>
      </c>
      <c r="E25" s="66">
        <v>0.24</v>
      </c>
      <c r="F25" s="66">
        <v>0.25840000000000002</v>
      </c>
      <c r="G25" s="66">
        <v>0.27860000000000001</v>
      </c>
      <c r="I25" t="s">
        <v>248</v>
      </c>
      <c r="J25" s="680" t="str">
        <f>IF($J$17=$A$146,"Margem bruta da empresa de consultoria","Lucro")</f>
        <v>Lucro</v>
      </c>
      <c r="K25" s="680"/>
      <c r="L25" s="680"/>
      <c r="M25" s="680"/>
      <c r="N25" s="680"/>
      <c r="O25" s="680"/>
      <c r="P25" s="680"/>
      <c r="Q25" s="680"/>
      <c r="R25" s="72" t="str">
        <f>IF($J17=$A$146,"K3","L")</f>
        <v>L</v>
      </c>
      <c r="S25" s="73">
        <v>6.6400000000000001E-2</v>
      </c>
      <c r="U25" s="684" t="s">
        <v>168</v>
      </c>
      <c r="V25" s="684"/>
      <c r="W25" s="684"/>
      <c r="X25" s="74">
        <f>VLOOKUP(CONCATENATE(J17,"-",R25),$C$2:$G$136,3,FALSE)</f>
        <v>6.6400000000000001E-2</v>
      </c>
      <c r="Y25" s="74">
        <f>VLOOKUP(CONCATENATE(J17,"-",R25),$C$2:$G$136,4,FALSE)</f>
        <v>7.2999999999999995E-2</v>
      </c>
      <c r="Z25" s="74">
        <f>VLOOKUP(CONCATENATE(J17,"-",R25),$C$2:$G$136,5,FALSE)</f>
        <v>8.6899999999999991E-2</v>
      </c>
    </row>
    <row r="26" spans="1:26" ht="15" customHeight="1" x14ac:dyDescent="0.2">
      <c r="A26" s="61" t="s">
        <v>169</v>
      </c>
      <c r="B26" s="65" t="s">
        <v>143</v>
      </c>
      <c r="C26" s="61" t="str">
        <f t="shared" si="0"/>
        <v>Obras Portuárias, Marítimas e Fluviais-AC</v>
      </c>
      <c r="E26" s="66">
        <v>0.04</v>
      </c>
      <c r="F26" s="66">
        <v>5.5199999999999999E-2</v>
      </c>
      <c r="G26" s="66">
        <v>7.85E-2</v>
      </c>
      <c r="I26" t="s">
        <v>248</v>
      </c>
      <c r="J26" s="680" t="s">
        <v>170</v>
      </c>
      <c r="K26" s="680"/>
      <c r="L26" s="680"/>
      <c r="M26" s="680"/>
      <c r="N26" s="680"/>
      <c r="O26" s="680"/>
      <c r="P26" s="680"/>
      <c r="Q26" s="680"/>
      <c r="R26" s="72" t="s">
        <v>171</v>
      </c>
      <c r="S26" s="73">
        <v>3.6499999999999998E-2</v>
      </c>
      <c r="U26" s="684" t="s">
        <v>168</v>
      </c>
      <c r="V26" s="684"/>
      <c r="W26" s="684"/>
      <c r="X26" s="74">
        <v>3.6499999999999998E-2</v>
      </c>
      <c r="Y26" s="74">
        <v>3.6499999999999998E-2</v>
      </c>
      <c r="Z26" s="74">
        <v>3.6499999999999998E-2</v>
      </c>
    </row>
    <row r="27" spans="1:26" ht="15" customHeight="1" x14ac:dyDescent="0.2">
      <c r="A27" s="61" t="str">
        <f>A26</f>
        <v>Obras Portuárias, Marítimas e Fluviais</v>
      </c>
      <c r="B27" s="65" t="s">
        <v>145</v>
      </c>
      <c r="C27" s="61" t="str">
        <f t="shared" si="0"/>
        <v>Obras Portuárias, Marítimas e Fluviais-SG</v>
      </c>
      <c r="E27" s="66">
        <v>8.1000000000000013E-3</v>
      </c>
      <c r="F27" s="66">
        <v>1.2199999999999999E-2</v>
      </c>
      <c r="G27" s="66">
        <v>1.9900000000000001E-2</v>
      </c>
      <c r="I27" t="s">
        <v>248</v>
      </c>
      <c r="J27" s="680" t="s">
        <v>172</v>
      </c>
      <c r="K27" s="680"/>
      <c r="L27" s="680"/>
      <c r="M27" s="680"/>
      <c r="N27" s="680"/>
      <c r="O27" s="680"/>
      <c r="P27" s="680"/>
      <c r="Q27" s="680"/>
      <c r="R27" s="72" t="s">
        <v>173</v>
      </c>
      <c r="S27" s="74">
        <f ca="1">IF(AND($J17&lt;&gt;$A$145,COUNTA(OFFSET(S20,1,0,6))&gt;0),$R$11*$R$10,0)</f>
        <v>0.03</v>
      </c>
      <c r="U27" s="684" t="s">
        <v>168</v>
      </c>
      <c r="V27" s="684"/>
      <c r="W27" s="684"/>
      <c r="X27" s="74">
        <v>0</v>
      </c>
      <c r="Y27" s="74">
        <v>2.5000000000000001E-2</v>
      </c>
      <c r="Z27" s="74">
        <v>0.05</v>
      </c>
    </row>
    <row r="28" spans="1:26" ht="15" customHeight="1" x14ac:dyDescent="0.2">
      <c r="A28" s="61" t="str">
        <f>A27</f>
        <v>Obras Portuárias, Marítimas e Fluviais</v>
      </c>
      <c r="B28" s="65" t="s">
        <v>146</v>
      </c>
      <c r="C28" s="61" t="str">
        <f t="shared" si="0"/>
        <v>Obras Portuárias, Marítimas e Fluviais-R</v>
      </c>
      <c r="E28" s="66">
        <v>1.46E-2</v>
      </c>
      <c r="F28" s="66">
        <v>2.3199999999999998E-2</v>
      </c>
      <c r="G28" s="66">
        <v>3.1600000000000003E-2</v>
      </c>
      <c r="I28" t="s">
        <v>248</v>
      </c>
      <c r="J28" s="680" t="s">
        <v>174</v>
      </c>
      <c r="K28" s="680"/>
      <c r="L28" s="680"/>
      <c r="M28" s="680"/>
      <c r="N28" s="680"/>
      <c r="O28" s="680"/>
      <c r="P28" s="680"/>
      <c r="Q28" s="680"/>
      <c r="R28" s="72" t="s">
        <v>175</v>
      </c>
      <c r="S28" s="74">
        <f ca="1">IF(BDI.Opcao&lt;&gt;"Desonerado",0,IF(AND($J17&lt;&gt;$A$145,COUNTA(OFFSET(S20,1,0,6))&gt;0),4.5%,0%))</f>
        <v>0</v>
      </c>
      <c r="U28" s="684" t="s">
        <v>168</v>
      </c>
      <c r="V28" s="684"/>
      <c r="W28" s="684"/>
      <c r="X28" s="75">
        <v>0</v>
      </c>
      <c r="Y28" s="75">
        <v>4.4999999999999998E-2</v>
      </c>
      <c r="Z28" s="75">
        <v>4.4999999999999998E-2</v>
      </c>
    </row>
    <row r="29" spans="1:26" ht="15" customHeight="1" x14ac:dyDescent="0.2">
      <c r="A29" s="61" t="str">
        <f>A28</f>
        <v>Obras Portuárias, Marítimas e Fluviais</v>
      </c>
      <c r="B29" s="65" t="s">
        <v>150</v>
      </c>
      <c r="C29" s="61" t="str">
        <f t="shared" si="0"/>
        <v>Obras Portuárias, Marítimas e Fluviais-DF</v>
      </c>
      <c r="E29" s="66">
        <v>9.3999999999999986E-3</v>
      </c>
      <c r="F29" s="66">
        <v>1.0200000000000001E-2</v>
      </c>
      <c r="G29" s="66">
        <v>1.3300000000000001E-2</v>
      </c>
      <c r="I29" t="s">
        <v>248</v>
      </c>
      <c r="J29" s="680" t="s">
        <v>176</v>
      </c>
      <c r="K29" s="680"/>
      <c r="L29" s="680"/>
      <c r="M29" s="680"/>
      <c r="N29" s="680"/>
      <c r="O29" s="680"/>
      <c r="P29" s="680"/>
      <c r="Q29" s="680"/>
      <c r="R29" s="76" t="s">
        <v>152</v>
      </c>
      <c r="S29" s="74">
        <f ca="1">IF($J17=$A$145,0,ROUND((((1+S21+S22+S23)*(1+S24)*(1+S25)/(1-(S26+S27)))-1),4))</f>
        <v>0.20730000000000001</v>
      </c>
      <c r="U29" s="686" t="str">
        <f ca="1">IF(OR($J$17=$A$146,$J$17=$A$145,AND(S29&gt;=X29,S29&lt;=Z29)),"OK","FORA DO INTERVALO")</f>
        <v>OK</v>
      </c>
      <c r="V29" s="686"/>
      <c r="W29" s="686"/>
      <c r="X29" s="74">
        <f>IF($J17=$A$145,0,VLOOKUP(CONCATENATE($J17,"-",$R29),$C$2:$G$136,3,FALSE))</f>
        <v>0.19600000000000001</v>
      </c>
      <c r="Y29" s="74">
        <f>IF($J17=$A$145,0,VLOOKUP(CONCATENATE($J17,"-",$R29),$C$2:$G$136,4,FALSE))</f>
        <v>0.2097</v>
      </c>
      <c r="Z29" s="74">
        <f>IF($J17=$A$145,0,VLOOKUP(CONCATENATE($J17,"-",$R29),$C$2:$G$136,5,FALSE))</f>
        <v>0.24230000000000002</v>
      </c>
    </row>
    <row r="30" spans="1:26" ht="15" customHeight="1" x14ac:dyDescent="0.2">
      <c r="A30" s="61" t="str">
        <f>A29</f>
        <v>Obras Portuárias, Marítimas e Fluviais</v>
      </c>
      <c r="B30" s="65" t="s">
        <v>151</v>
      </c>
      <c r="C30" s="61" t="str">
        <f t="shared" si="0"/>
        <v>Obras Portuárias, Marítimas e Fluviais-L</v>
      </c>
      <c r="E30" s="66">
        <v>7.1399999999999991E-2</v>
      </c>
      <c r="F30" s="66">
        <v>8.4000000000000005E-2</v>
      </c>
      <c r="G30" s="66">
        <v>0.1043</v>
      </c>
      <c r="I30" t="s">
        <v>248</v>
      </c>
      <c r="J30" s="687" t="s">
        <v>177</v>
      </c>
      <c r="K30" s="687"/>
      <c r="L30" s="687"/>
      <c r="M30" s="687"/>
      <c r="N30" s="687"/>
      <c r="O30" s="687"/>
      <c r="P30" s="687"/>
      <c r="Q30" s="687"/>
      <c r="R30" s="77" t="s">
        <v>178</v>
      </c>
      <c r="S30" s="78">
        <f ca="1">IF($J17=$A$145,0,ROUND((((1+S21+S22+S23)*(1+S24)*(1+S25)/(1-(S26+S27+S28)))-1),4))</f>
        <v>0.20730000000000001</v>
      </c>
    </row>
    <row r="31" spans="1:26" ht="25.5" x14ac:dyDescent="0.2">
      <c r="A31" s="61" t="str">
        <f>A30</f>
        <v>Obras Portuárias, Marítimas e Fluviais</v>
      </c>
      <c r="B31" s="70" t="s">
        <v>152</v>
      </c>
      <c r="C31" s="61" t="str">
        <f t="shared" si="0"/>
        <v>Obras Portuárias, Marítimas e Fluviais-BDI PAD</v>
      </c>
      <c r="E31" s="66">
        <v>0.22800000000000001</v>
      </c>
      <c r="F31" s="66">
        <v>0.27479999999999999</v>
      </c>
      <c r="G31" s="66">
        <v>0.3095</v>
      </c>
      <c r="I31" t="s">
        <v>248</v>
      </c>
    </row>
    <row r="32" spans="1:26" ht="15.75" x14ac:dyDescent="0.2">
      <c r="A32" s="61" t="s">
        <v>179</v>
      </c>
      <c r="B32" s="65" t="s">
        <v>143</v>
      </c>
      <c r="C32" s="61" t="str">
        <f t="shared" si="0"/>
        <v>Fornecimento de Materiais e Equipamentos (aquisição indireta - em conjunto com licitação de obras)-AC</v>
      </c>
      <c r="E32" s="66">
        <v>1.4999999999999999E-2</v>
      </c>
      <c r="F32" s="66">
        <v>3.4500000000000003E-2</v>
      </c>
      <c r="G32" s="66">
        <v>4.4900000000000002E-2</v>
      </c>
      <c r="I32" t="s">
        <v>248</v>
      </c>
      <c r="J32" s="79" t="str">
        <f ca="1">IF(U29&lt;&gt;"ok","X","")</f>
        <v/>
      </c>
      <c r="K32" s="688" t="str">
        <f ca="1">IF(U29&lt;&gt;"ok","Anexo: Relatório Técnico Circunstanciado justificando a adoção do percentual de cada parcela do BDI.","")</f>
        <v/>
      </c>
      <c r="L32" s="688"/>
      <c r="M32" s="688"/>
      <c r="N32" s="688"/>
      <c r="O32" s="688"/>
      <c r="P32" s="688"/>
      <c r="Q32" s="688"/>
      <c r="R32" s="688"/>
      <c r="S32" s="688"/>
    </row>
    <row r="33" spans="1:19" x14ac:dyDescent="0.2">
      <c r="A33" s="61" t="str">
        <f>A32</f>
        <v>Fornecimento de Materiais e Equipamentos (aquisição indireta - em conjunto com licitação de obras)</v>
      </c>
      <c r="B33" s="65" t="s">
        <v>145</v>
      </c>
      <c r="C33" s="61" t="str">
        <f t="shared" si="0"/>
        <v>Fornecimento de Materiais e Equipamentos (aquisição indireta - em conjunto com licitação de obras)-SG</v>
      </c>
      <c r="E33" s="66">
        <v>3.0000000000000001E-3</v>
      </c>
      <c r="F33" s="66">
        <v>4.7999999999999996E-3</v>
      </c>
      <c r="G33" s="66">
        <v>8.199999999999999E-3</v>
      </c>
      <c r="I33" t="s">
        <v>248</v>
      </c>
    </row>
    <row r="34" spans="1:19" x14ac:dyDescent="0.2">
      <c r="A34" s="61" t="str">
        <f>A33</f>
        <v>Fornecimento de Materiais e Equipamentos (aquisição indireta - em conjunto com licitação de obras)</v>
      </c>
      <c r="B34" s="65" t="s">
        <v>146</v>
      </c>
      <c r="C34" s="61" t="str">
        <f t="shared" si="0"/>
        <v>Fornecimento de Materiais e Equipamentos (aquisição indireta - em conjunto com licitação de obras)-R</v>
      </c>
      <c r="E34" s="66">
        <v>5.6000000000000008E-3</v>
      </c>
      <c r="F34" s="66">
        <v>8.5000000000000006E-3</v>
      </c>
      <c r="G34" s="66">
        <v>8.8999999999999999E-3</v>
      </c>
      <c r="I34" t="s">
        <v>248</v>
      </c>
      <c r="J34" s="679" t="s">
        <v>180</v>
      </c>
      <c r="K34" s="679"/>
      <c r="L34" s="679"/>
      <c r="M34" s="679"/>
      <c r="N34" s="679"/>
      <c r="O34" s="679"/>
      <c r="P34" s="679"/>
      <c r="Q34" s="679"/>
      <c r="R34" s="679"/>
      <c r="S34" s="679"/>
    </row>
    <row r="35" spans="1:19" ht="15.75" x14ac:dyDescent="0.25">
      <c r="A35" s="61" t="str">
        <f>A34</f>
        <v>Fornecimento de Materiais e Equipamentos (aquisição indireta - em conjunto com licitação de obras)</v>
      </c>
      <c r="B35" s="65" t="s">
        <v>150</v>
      </c>
      <c r="C35" s="61" t="str">
        <f t="shared" si="0"/>
        <v>Fornecimento de Materiais e Equipamentos (aquisição indireta - em conjunto com licitação de obras)-DF</v>
      </c>
      <c r="E35" s="66">
        <v>8.5000000000000006E-3</v>
      </c>
      <c r="F35" s="66">
        <v>8.5000000000000006E-3</v>
      </c>
      <c r="G35" s="66">
        <v>1.11E-2</v>
      </c>
      <c r="I35" t="s">
        <v>248</v>
      </c>
      <c r="J35" s="80"/>
      <c r="K35" s="80"/>
      <c r="L35" s="80"/>
      <c r="M35" s="681" t="s">
        <v>181</v>
      </c>
      <c r="N35" s="682" t="str">
        <f>IF($J17=$A$146,"(1+K1+K2)*(1+K3)","(1+AC + S + R + G)*(1 + DF)*(1+L)")</f>
        <v>(1+AC + S + R + G)*(1 + DF)*(1+L)</v>
      </c>
      <c r="O35" s="682"/>
      <c r="P35" s="682"/>
      <c r="Q35" s="683" t="s">
        <v>182</v>
      </c>
      <c r="R35" s="80"/>
      <c r="S35" s="80"/>
    </row>
    <row r="36" spans="1:19" ht="15.75" x14ac:dyDescent="0.2">
      <c r="A36" s="61" t="str">
        <f>A35</f>
        <v>Fornecimento de Materiais e Equipamentos (aquisição indireta - em conjunto com licitação de obras)</v>
      </c>
      <c r="B36" s="65" t="s">
        <v>151</v>
      </c>
      <c r="C36" s="61" t="str">
        <f t="shared" si="0"/>
        <v>Fornecimento de Materiais e Equipamentos (aquisição indireta - em conjunto com licitação de obras)-L</v>
      </c>
      <c r="E36" s="66">
        <v>3.5000000000000003E-2</v>
      </c>
      <c r="F36" s="66">
        <v>5.1100000000000007E-2</v>
      </c>
      <c r="G36" s="66">
        <v>6.2199999999999998E-2</v>
      </c>
      <c r="I36" t="s">
        <v>248</v>
      </c>
      <c r="J36" s="80"/>
      <c r="K36" s="80"/>
      <c r="L36" s="80"/>
      <c r="M36" s="681"/>
      <c r="N36" s="685" t="s">
        <v>183</v>
      </c>
      <c r="O36" s="685"/>
      <c r="P36" s="685"/>
      <c r="Q36" s="683"/>
      <c r="R36" s="80"/>
      <c r="S36" s="80"/>
    </row>
    <row r="37" spans="1:19" ht="15" customHeight="1" x14ac:dyDescent="0.2">
      <c r="A37" s="61" t="str">
        <f>A36</f>
        <v>Fornecimento de Materiais e Equipamentos (aquisição indireta - em conjunto com licitação de obras)</v>
      </c>
      <c r="B37" s="70" t="s">
        <v>152</v>
      </c>
      <c r="C37" s="61" t="str">
        <f t="shared" si="0"/>
        <v>Fornecimento de Materiais e Equipamentos (aquisição indireta - em conjunto com licitação de obras)-BDI PAD</v>
      </c>
      <c r="E37" s="66">
        <v>0.111</v>
      </c>
      <c r="F37" s="66">
        <v>0.14019999999999999</v>
      </c>
      <c r="G37" s="66">
        <v>0.16800000000000001</v>
      </c>
      <c r="I37" t="s">
        <v>248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</row>
    <row r="38" spans="1:19" ht="50.1" customHeight="1" x14ac:dyDescent="0.2">
      <c r="A38" s="61" t="s">
        <v>184</v>
      </c>
      <c r="B38" s="70" t="s">
        <v>143</v>
      </c>
      <c r="C38" s="61" t="str">
        <f t="shared" si="0"/>
        <v>Fornecimento de Materiais e Equipamentos (aquisição direta)-AC</v>
      </c>
      <c r="E38" s="66" t="s">
        <v>168</v>
      </c>
      <c r="F38" s="66" t="s">
        <v>168</v>
      </c>
      <c r="G38" s="66" t="s">
        <v>168</v>
      </c>
      <c r="I38" t="s">
        <v>248</v>
      </c>
      <c r="J38" s="672" t="str">
        <f>CONCATENATE("Declaro para os devidos fins que, conforme legislação tributária municipal, a base de cálculo deste tipo de obra corresponde à ",$R$10*100,"%, com a respectiva alíquota de ",$R$11*100,"%.")</f>
        <v>Declaro para os devidos fins que, conforme legislação tributária municipal, a base de cálculo deste tipo de obra corresponde à 100%, com a respectiva alíquota de 3%.</v>
      </c>
      <c r="K38" s="672"/>
      <c r="L38" s="672"/>
      <c r="M38" s="672"/>
      <c r="N38" s="672"/>
      <c r="O38" s="672"/>
      <c r="P38" s="672"/>
      <c r="Q38" s="672"/>
      <c r="R38" s="672"/>
      <c r="S38" s="672"/>
    </row>
    <row r="39" spans="1:19" x14ac:dyDescent="0.2">
      <c r="A39" s="61" t="s">
        <v>184</v>
      </c>
      <c r="B39" s="70" t="s">
        <v>145</v>
      </c>
      <c r="C39" s="61" t="str">
        <f t="shared" si="0"/>
        <v>Fornecimento de Materiais e Equipamentos (aquisição direta)-SG</v>
      </c>
      <c r="E39" s="66" t="s">
        <v>168</v>
      </c>
      <c r="F39" s="66" t="s">
        <v>168</v>
      </c>
      <c r="G39" s="66" t="s">
        <v>168</v>
      </c>
      <c r="I39" t="s">
        <v>248</v>
      </c>
    </row>
    <row r="40" spans="1:19" ht="50.1" customHeight="1" x14ac:dyDescent="0.2">
      <c r="A40" s="61" t="s">
        <v>184</v>
      </c>
      <c r="B40" s="70" t="s">
        <v>146</v>
      </c>
      <c r="C40" s="61" t="str">
        <f t="shared" si="0"/>
        <v>Fornecimento de Materiais e Equipamentos (aquisição direta)-R</v>
      </c>
      <c r="E40" s="66" t="s">
        <v>168</v>
      </c>
      <c r="F40" s="66" t="s">
        <v>168</v>
      </c>
      <c r="G40" s="66" t="s">
        <v>168</v>
      </c>
      <c r="I40" t="s">
        <v>248</v>
      </c>
      <c r="J40" s="672" t="str">
        <f ca="1">CONCATENATE("Declaro para os devidos fins que o regime de Contribuição Previdenciária sobre a Receita Bruta adotado para elaboração do orçamento foi ",IF(DESONERACAO="Sim","COM","SEM")," Desoneração, e que esta é a alternativa mais adequada para a Administração Pública.")</f>
        <v>Declaro para os devidos fins que o regime de Contribuição Previdenciária sobre a Receita Bruta adotado para elaboração do orçamento foi SEM Desoneração, e que esta é a alternativa mais adequada para a Administração Pública.</v>
      </c>
      <c r="K40" s="672"/>
      <c r="L40" s="672"/>
      <c r="M40" s="672"/>
      <c r="N40" s="672"/>
      <c r="O40" s="672"/>
      <c r="P40" s="672"/>
      <c r="Q40" s="672"/>
      <c r="R40" s="672"/>
      <c r="S40" s="672"/>
    </row>
    <row r="41" spans="1:19" x14ac:dyDescent="0.2">
      <c r="A41" s="61" t="s">
        <v>184</v>
      </c>
      <c r="B41" s="70" t="s">
        <v>150</v>
      </c>
      <c r="C41" s="61" t="str">
        <f t="shared" si="0"/>
        <v>Fornecimento de Materiais e Equipamentos (aquisição direta)-DF</v>
      </c>
      <c r="E41" s="66" t="s">
        <v>168</v>
      </c>
      <c r="F41" s="66" t="s">
        <v>168</v>
      </c>
      <c r="G41" s="66" t="s">
        <v>168</v>
      </c>
      <c r="I41" t="s">
        <v>248</v>
      </c>
    </row>
    <row r="42" spans="1:19" x14ac:dyDescent="0.2">
      <c r="A42" s="61" t="s">
        <v>184</v>
      </c>
      <c r="B42" s="70" t="s">
        <v>151</v>
      </c>
      <c r="C42" s="61" t="str">
        <f t="shared" si="0"/>
        <v>Fornecimento de Materiais e Equipamentos (aquisição direta)-L</v>
      </c>
      <c r="E42" s="66" t="s">
        <v>168</v>
      </c>
      <c r="F42" s="66" t="s">
        <v>168</v>
      </c>
      <c r="G42" s="66" t="s">
        <v>168</v>
      </c>
      <c r="I42" t="s">
        <v>248</v>
      </c>
      <c r="J42" s="61" t="s">
        <v>189</v>
      </c>
    </row>
    <row r="43" spans="1:19" ht="99.95" customHeight="1" x14ac:dyDescent="0.2">
      <c r="A43" s="61" t="s">
        <v>184</v>
      </c>
      <c r="B43" s="70" t="s">
        <v>152</v>
      </c>
      <c r="C43" s="61" t="str">
        <f t="shared" si="0"/>
        <v>Fornecimento de Materiais e Equipamentos (aquisição direta)-BDI PAD</v>
      </c>
      <c r="E43" s="66" t="s">
        <v>168</v>
      </c>
      <c r="F43" s="66" t="s">
        <v>168</v>
      </c>
      <c r="G43" s="66" t="s">
        <v>168</v>
      </c>
      <c r="I43" t="s">
        <v>248</v>
      </c>
      <c r="J43" s="673"/>
      <c r="K43" s="673"/>
      <c r="L43" s="673"/>
      <c r="M43" s="673"/>
      <c r="N43" s="673"/>
      <c r="O43" s="673"/>
      <c r="P43" s="673"/>
      <c r="Q43" s="673"/>
      <c r="R43" s="673"/>
      <c r="S43" s="673"/>
    </row>
    <row r="44" spans="1:19" x14ac:dyDescent="0.2">
      <c r="A44" s="61" t="s">
        <v>185</v>
      </c>
      <c r="B44" s="65" t="s">
        <v>186</v>
      </c>
      <c r="C44" s="61" t="str">
        <f t="shared" si="0"/>
        <v>Estudos e Projetos, Planos e Gerenciamento e outros correlatos-K1</v>
      </c>
      <c r="E44" s="66" t="s">
        <v>168</v>
      </c>
      <c r="F44" s="66" t="s">
        <v>168</v>
      </c>
      <c r="G44" s="66" t="s">
        <v>168</v>
      </c>
      <c r="I44" t="s">
        <v>248</v>
      </c>
    </row>
    <row r="45" spans="1:19" x14ac:dyDescent="0.2">
      <c r="A45" s="61" t="str">
        <f>A44</f>
        <v>Estudos e Projetos, Planos e Gerenciamento e outros correlatos</v>
      </c>
      <c r="B45" s="65" t="s">
        <v>187</v>
      </c>
      <c r="C45" s="61" t="str">
        <f t="shared" si="0"/>
        <v>Estudos e Projetos, Planos e Gerenciamento e outros correlatos-K2</v>
      </c>
      <c r="E45" s="66" t="s">
        <v>168</v>
      </c>
      <c r="F45" s="66">
        <v>0.2</v>
      </c>
      <c r="G45" s="66" t="s">
        <v>168</v>
      </c>
      <c r="I45" t="s">
        <v>248</v>
      </c>
      <c r="J45" s="674" t="str">
        <f>Import.Município</f>
        <v>CONCEIÇÃO DOS OUROS/MG</v>
      </c>
      <c r="K45" s="674"/>
      <c r="L45" s="674"/>
      <c r="M45" s="674"/>
      <c r="P45" s="675">
        <f>DADOS!$F$25</f>
        <v>45391</v>
      </c>
      <c r="Q45" s="675"/>
      <c r="R45" s="675"/>
      <c r="S45" s="675"/>
    </row>
    <row r="46" spans="1:19" x14ac:dyDescent="0.2">
      <c r="A46" s="61" t="str">
        <f>A45</f>
        <v>Estudos e Projetos, Planos e Gerenciamento e outros correlatos</v>
      </c>
      <c r="B46" s="65"/>
      <c r="C46" s="61" t="str">
        <f t="shared" si="0"/>
        <v>Estudos e Projetos, Planos e Gerenciamento e outros correlatos-</v>
      </c>
      <c r="E46" s="66" t="s">
        <v>168</v>
      </c>
      <c r="F46" s="66" t="s">
        <v>168</v>
      </c>
      <c r="G46" s="66" t="s">
        <v>168</v>
      </c>
      <c r="I46" t="s">
        <v>248</v>
      </c>
      <c r="J46" s="676" t="s">
        <v>190</v>
      </c>
      <c r="K46" s="676"/>
      <c r="L46" s="676"/>
      <c r="M46" s="676"/>
      <c r="O46" s="85"/>
      <c r="P46" s="86" t="s">
        <v>191</v>
      </c>
      <c r="Q46" s="87"/>
      <c r="R46" s="87"/>
      <c r="S46" s="87"/>
    </row>
    <row r="47" spans="1:19" ht="30" customHeight="1" x14ac:dyDescent="0.2">
      <c r="A47" s="61" t="str">
        <f>A46</f>
        <v>Estudos e Projetos, Planos e Gerenciamento e outros correlatos</v>
      </c>
      <c r="B47" s="65"/>
      <c r="C47" s="61" t="str">
        <f t="shared" si="0"/>
        <v>Estudos e Projetos, Planos e Gerenciamento e outros correlatos-</v>
      </c>
      <c r="E47" s="66" t="s">
        <v>168</v>
      </c>
      <c r="F47" s="66" t="s">
        <v>168</v>
      </c>
      <c r="G47" s="66" t="s">
        <v>168</v>
      </c>
      <c r="I47" t="s">
        <v>248</v>
      </c>
    </row>
    <row r="48" spans="1:19" ht="15" x14ac:dyDescent="0.2">
      <c r="A48" s="61" t="str">
        <f>A47</f>
        <v>Estudos e Projetos, Planos e Gerenciamento e outros correlatos</v>
      </c>
      <c r="B48" s="65" t="s">
        <v>188</v>
      </c>
      <c r="C48" s="61" t="str">
        <f t="shared" si="0"/>
        <v>Estudos e Projetos, Planos e Gerenciamento e outros correlatos-K3</v>
      </c>
      <c r="E48" s="66" t="s">
        <v>168</v>
      </c>
      <c r="F48" s="66">
        <v>0.12</v>
      </c>
      <c r="G48" s="66" t="s">
        <v>168</v>
      </c>
      <c r="I48" t="s">
        <v>248</v>
      </c>
      <c r="J48" s="677"/>
      <c r="K48" s="677"/>
      <c r="L48" s="677"/>
      <c r="M48" s="677"/>
      <c r="N48" s="88"/>
    </row>
    <row r="49" spans="1:26" ht="12.75" customHeight="1" x14ac:dyDescent="0.2">
      <c r="A49" s="61" t="str">
        <f>A48</f>
        <v>Estudos e Projetos, Planos e Gerenciamento e outros correlatos</v>
      </c>
      <c r="B49" s="70" t="s">
        <v>152</v>
      </c>
      <c r="C49" s="61" t="str">
        <f t="shared" si="0"/>
        <v>Estudos e Projetos, Planos e Gerenciamento e outros correlatos-BDI PAD</v>
      </c>
      <c r="E49" s="66" t="s">
        <v>168</v>
      </c>
      <c r="F49" s="66" t="s">
        <v>168</v>
      </c>
      <c r="G49" s="66" t="s">
        <v>168</v>
      </c>
      <c r="I49" t="s">
        <v>248</v>
      </c>
      <c r="J49" s="671" t="s">
        <v>192</v>
      </c>
      <c r="K49" s="671"/>
      <c r="L49" s="671"/>
      <c r="M49" s="671"/>
      <c r="N49" s="89"/>
    </row>
    <row r="50" spans="1:26" ht="14.25" x14ac:dyDescent="0.2">
      <c r="B50" s="70"/>
      <c r="E50" s="66"/>
      <c r="F50" s="66"/>
      <c r="G50" s="66"/>
      <c r="I50" t="s">
        <v>248</v>
      </c>
      <c r="J50" s="90" t="s">
        <v>109</v>
      </c>
      <c r="K50" s="91" t="str">
        <f t="array" ref="K50:K52">Import.RespOrçamento</f>
        <v>JOSÉ AIRTON JUNHO DOS REIS</v>
      </c>
      <c r="L50" s="92"/>
      <c r="M50" s="92"/>
      <c r="N50" s="93"/>
    </row>
    <row r="51" spans="1:26" ht="14.25" x14ac:dyDescent="0.2">
      <c r="A51"/>
      <c r="B51"/>
      <c r="C51"/>
      <c r="D51"/>
      <c r="E51"/>
      <c r="F51"/>
      <c r="G51"/>
      <c r="I51" t="s">
        <v>248</v>
      </c>
      <c r="J51" s="90" t="s">
        <v>110</v>
      </c>
      <c r="K51" s="91" t="str">
        <v>56.250/D</v>
      </c>
      <c r="L51" s="92"/>
      <c r="M51" s="92"/>
      <c r="N51" s="93"/>
    </row>
    <row r="52" spans="1:26" ht="14.25" x14ac:dyDescent="0.2">
      <c r="A52"/>
      <c r="B52"/>
      <c r="C52"/>
      <c r="D52"/>
      <c r="E52"/>
      <c r="F52"/>
      <c r="G52"/>
      <c r="I52" t="s">
        <v>248</v>
      </c>
      <c r="J52" s="90" t="s">
        <v>111</v>
      </c>
      <c r="K52" s="91" t="str">
        <v>MG20242788680</v>
      </c>
      <c r="L52" s="92"/>
      <c r="M52" s="92"/>
      <c r="N52" s="93"/>
    </row>
    <row r="53" spans="1:26" ht="14.25" x14ac:dyDescent="0.2">
      <c r="A53"/>
      <c r="B53"/>
      <c r="C53"/>
      <c r="D53"/>
      <c r="E53"/>
      <c r="F53"/>
      <c r="G53"/>
      <c r="I53" t="s">
        <v>248</v>
      </c>
      <c r="J53" s="90"/>
      <c r="K53" s="94"/>
      <c r="L53" s="92"/>
      <c r="M53" s="92"/>
      <c r="N53" s="93"/>
    </row>
    <row r="54" spans="1:26" ht="15.75" hidden="1" x14ac:dyDescent="0.25">
      <c r="A54"/>
      <c r="B54"/>
      <c r="C54"/>
      <c r="D54"/>
      <c r="E54"/>
      <c r="F54"/>
      <c r="G54"/>
      <c r="I54" t="str">
        <f ca="1">IF($S$69=0,"","F")</f>
        <v/>
      </c>
      <c r="J54" s="693" t="s">
        <v>193</v>
      </c>
      <c r="K54" s="693"/>
      <c r="L54" s="693"/>
      <c r="M54" s="693"/>
      <c r="N54" s="693"/>
      <c r="O54" s="693"/>
      <c r="P54" s="693"/>
      <c r="Q54" s="693"/>
      <c r="R54" s="693"/>
      <c r="S54" s="693"/>
    </row>
    <row r="55" spans="1:26" hidden="1" x14ac:dyDescent="0.2">
      <c r="A55"/>
      <c r="B55"/>
      <c r="C55"/>
      <c r="D55"/>
      <c r="E55"/>
      <c r="F55"/>
      <c r="G55"/>
      <c r="I55" t="str">
        <f t="shared" ref="I55:I93" ca="1" si="1">IF($S$69=0,"","F")</f>
        <v/>
      </c>
    </row>
    <row r="56" spans="1:26" hidden="1" x14ac:dyDescent="0.2">
      <c r="A56"/>
      <c r="B56"/>
      <c r="C56"/>
      <c r="D56"/>
      <c r="E56"/>
      <c r="F56"/>
      <c r="G56"/>
      <c r="I56" t="str">
        <f t="shared" ca="1" si="1"/>
        <v/>
      </c>
      <c r="J56" s="689" t="s">
        <v>159</v>
      </c>
      <c r="K56" s="689"/>
      <c r="L56" s="689"/>
      <c r="M56" s="689"/>
      <c r="N56" s="689"/>
      <c r="O56" s="689"/>
      <c r="P56" s="689"/>
      <c r="Q56" s="689"/>
      <c r="R56" s="689"/>
      <c r="S56" s="689"/>
    </row>
    <row r="57" spans="1:26" hidden="1" x14ac:dyDescent="0.2">
      <c r="A57"/>
      <c r="B57"/>
      <c r="C57"/>
      <c r="D57"/>
      <c r="E57"/>
      <c r="F57"/>
      <c r="G57"/>
      <c r="I57" t="str">
        <f t="shared" ca="1" si="1"/>
        <v/>
      </c>
      <c r="J57" s="690" t="s">
        <v>154</v>
      </c>
      <c r="K57" s="690"/>
      <c r="L57" s="690"/>
      <c r="M57" s="690"/>
      <c r="N57" s="690"/>
      <c r="O57" s="690"/>
      <c r="P57" s="690"/>
      <c r="Q57" s="690"/>
      <c r="R57" s="690"/>
      <c r="S57" s="690"/>
    </row>
    <row r="58" spans="1:26" hidden="1" x14ac:dyDescent="0.2">
      <c r="A58"/>
      <c r="B58"/>
      <c r="C58"/>
      <c r="D58"/>
      <c r="E58"/>
      <c r="F58"/>
      <c r="G58"/>
      <c r="I58" t="str">
        <f t="shared" ca="1" si="1"/>
        <v/>
      </c>
    </row>
    <row r="59" spans="1:26" ht="12.75" hidden="1" customHeight="1" x14ac:dyDescent="0.2">
      <c r="A59"/>
      <c r="B59"/>
      <c r="C59"/>
      <c r="D59"/>
      <c r="E59"/>
      <c r="F59"/>
      <c r="G59"/>
      <c r="I59" t="str">
        <f t="shared" ca="1" si="1"/>
        <v/>
      </c>
      <c r="J59" s="692" t="s">
        <v>160</v>
      </c>
      <c r="K59" s="692"/>
      <c r="L59" s="692"/>
      <c r="M59" s="692"/>
      <c r="N59" s="692"/>
      <c r="O59" s="692"/>
      <c r="P59" s="692"/>
      <c r="Q59" s="692"/>
      <c r="R59" s="692" t="s">
        <v>161</v>
      </c>
      <c r="S59" s="686" t="s">
        <v>162</v>
      </c>
      <c r="U59" s="686" t="s">
        <v>163</v>
      </c>
      <c r="V59" s="686"/>
      <c r="W59" s="686"/>
      <c r="X59" s="691" t="s">
        <v>164</v>
      </c>
      <c r="Y59" s="691" t="s">
        <v>165</v>
      </c>
      <c r="Z59" s="691" t="s">
        <v>166</v>
      </c>
    </row>
    <row r="60" spans="1:26" ht="12.75" hidden="1" customHeight="1" x14ac:dyDescent="0.2">
      <c r="A60"/>
      <c r="B60"/>
      <c r="C60"/>
      <c r="D60"/>
      <c r="E60"/>
      <c r="F60"/>
      <c r="G60"/>
      <c r="I60" t="str">
        <f t="shared" ca="1" si="1"/>
        <v/>
      </c>
      <c r="J60" s="692"/>
      <c r="K60" s="692"/>
      <c r="L60" s="692"/>
      <c r="M60" s="692"/>
      <c r="N60" s="692"/>
      <c r="O60" s="692"/>
      <c r="P60" s="692"/>
      <c r="Q60" s="692"/>
      <c r="R60" s="692"/>
      <c r="S60" s="686"/>
      <c r="U60" s="686"/>
      <c r="V60" s="686"/>
      <c r="W60" s="686"/>
      <c r="X60" s="691"/>
      <c r="Y60" s="691"/>
      <c r="Z60" s="691"/>
    </row>
    <row r="61" spans="1:26" ht="15" hidden="1" customHeight="1" x14ac:dyDescent="0.2">
      <c r="A61"/>
      <c r="B61"/>
      <c r="C61"/>
      <c r="D61"/>
      <c r="E61"/>
      <c r="F61"/>
      <c r="G61"/>
      <c r="I61" t="str">
        <f t="shared" ca="1" si="1"/>
        <v/>
      </c>
      <c r="J61" s="680" t="str">
        <f>IF($J$17=$A$146,"Encargos Sociais incidentes sobre a mão de obra","Administração Central")</f>
        <v>Administração Central</v>
      </c>
      <c r="K61" s="680"/>
      <c r="L61" s="680"/>
      <c r="M61" s="680"/>
      <c r="N61" s="680"/>
      <c r="O61" s="680"/>
      <c r="P61" s="680"/>
      <c r="Q61" s="680"/>
      <c r="R61" s="72" t="str">
        <f>IF($J57=$A$146,"K1","AC")</f>
        <v>AC</v>
      </c>
      <c r="S61" s="73"/>
      <c r="U61" s="684" t="s">
        <v>168</v>
      </c>
      <c r="V61" s="684"/>
      <c r="W61" s="684"/>
      <c r="X61" s="74">
        <f>VLOOKUP(CONCATENATE(J57,"-",R61),$C$2:$G$136,3,FALSE)</f>
        <v>3.7999999999999999E-2</v>
      </c>
      <c r="Y61" s="74">
        <f>VLOOKUP(CONCATENATE(J57,"-",R61),$C$2:$G$136,4,FALSE)</f>
        <v>4.0099999999999997E-2</v>
      </c>
      <c r="Z61" s="74">
        <f>VLOOKUP(CONCATENATE(J57,"-",R61),$C$2:$G$136,5,FALSE)</f>
        <v>4.6699999999999998E-2</v>
      </c>
    </row>
    <row r="62" spans="1:26" ht="15" hidden="1" customHeight="1" x14ac:dyDescent="0.2">
      <c r="A62"/>
      <c r="B62"/>
      <c r="C62"/>
      <c r="D62"/>
      <c r="E62"/>
      <c r="F62"/>
      <c r="G62"/>
      <c r="I62" t="str">
        <f t="shared" ca="1" si="1"/>
        <v/>
      </c>
      <c r="J62" s="680" t="str">
        <f>IF($J$17=$A$146,"Administração Central da empresa ou consultoria - overhead","Seguro e Garantia")</f>
        <v>Seguro e Garantia</v>
      </c>
      <c r="K62" s="680"/>
      <c r="L62" s="680"/>
      <c r="M62" s="680"/>
      <c r="N62" s="680"/>
      <c r="O62" s="680"/>
      <c r="P62" s="680"/>
      <c r="Q62" s="680"/>
      <c r="R62" s="72" t="str">
        <f>IF($J57=$A$146,"K2","SG")</f>
        <v>SG</v>
      </c>
      <c r="S62" s="73"/>
      <c r="U62" s="684" t="s">
        <v>168</v>
      </c>
      <c r="V62" s="684"/>
      <c r="W62" s="684"/>
      <c r="X62" s="74">
        <f>VLOOKUP(CONCATENATE(J57,"-",R62),$C$2:$G$136,3,FALSE)</f>
        <v>3.2000000000000002E-3</v>
      </c>
      <c r="Y62" s="74">
        <f>VLOOKUP(CONCATENATE(J57,"-",R62),$C$2:$G$136,4,FALSE)</f>
        <v>4.0000000000000001E-3</v>
      </c>
      <c r="Z62" s="74">
        <f>VLOOKUP(CONCATENATE(J57,"-",R62),$C$2:$G$136,5,FALSE)</f>
        <v>7.4000000000000003E-3</v>
      </c>
    </row>
    <row r="63" spans="1:26" ht="15" hidden="1" customHeight="1" x14ac:dyDescent="0.2">
      <c r="A63"/>
      <c r="B63"/>
      <c r="C63"/>
      <c r="D63"/>
      <c r="E63"/>
      <c r="F63"/>
      <c r="G63"/>
      <c r="I63" t="str">
        <f t="shared" ca="1" si="1"/>
        <v/>
      </c>
      <c r="J63" s="680" t="str">
        <f>IF($J$17=$A$146,"","Risco")</f>
        <v>Risco</v>
      </c>
      <c r="K63" s="680"/>
      <c r="L63" s="680"/>
      <c r="M63" s="680"/>
      <c r="N63" s="680"/>
      <c r="O63" s="680"/>
      <c r="P63" s="680"/>
      <c r="Q63" s="680"/>
      <c r="R63" s="72" t="str">
        <f>IF($J57=$A$146,"","R")</f>
        <v>R</v>
      </c>
      <c r="S63" s="73"/>
      <c r="U63" s="684" t="s">
        <v>168</v>
      </c>
      <c r="V63" s="684"/>
      <c r="W63" s="684"/>
      <c r="X63" s="74">
        <f>VLOOKUP(CONCATENATE(J57,"-",R63),$C$2:$G$136,3,FALSE)</f>
        <v>5.0000000000000001E-3</v>
      </c>
      <c r="Y63" s="74">
        <f>VLOOKUP(CONCATENATE(J57,"-",R63),$C$2:$G$136,4,FALSE)</f>
        <v>5.6000000000000008E-3</v>
      </c>
      <c r="Z63" s="74">
        <f>VLOOKUP(CONCATENATE(J57,"-",R63),$C$2:$G$136,5,FALSE)</f>
        <v>9.7000000000000003E-3</v>
      </c>
    </row>
    <row r="64" spans="1:26" ht="15" hidden="1" customHeight="1" x14ac:dyDescent="0.2">
      <c r="A64"/>
      <c r="B64"/>
      <c r="C64"/>
      <c r="D64"/>
      <c r="E64"/>
      <c r="F64"/>
      <c r="G64"/>
      <c r="I64" t="str">
        <f t="shared" ca="1" si="1"/>
        <v/>
      </c>
      <c r="J64" s="680" t="str">
        <f>IF($J$17=$A$146,"","Despesas Financeiras")</f>
        <v>Despesas Financeiras</v>
      </c>
      <c r="K64" s="680"/>
      <c r="L64" s="680"/>
      <c r="M64" s="680"/>
      <c r="N64" s="680"/>
      <c r="O64" s="680"/>
      <c r="P64" s="680"/>
      <c r="Q64" s="680"/>
      <c r="R64" s="72" t="str">
        <f>IF($J57=$A$146,"","DF")</f>
        <v>DF</v>
      </c>
      <c r="S64" s="73"/>
      <c r="U64" s="684" t="s">
        <v>168</v>
      </c>
      <c r="V64" s="684"/>
      <c r="W64" s="684"/>
      <c r="X64" s="74">
        <f>VLOOKUP(CONCATENATE(J57,"-",R64),$C$2:$G$136,3,FALSE)</f>
        <v>1.0200000000000001E-2</v>
      </c>
      <c r="Y64" s="74">
        <f>VLOOKUP(CONCATENATE(J57,"-",R64),$C$2:$G$136,4,FALSE)</f>
        <v>1.11E-2</v>
      </c>
      <c r="Z64" s="74">
        <f>VLOOKUP(CONCATENATE(J57,"-",R64),$C$2:$G$136,5,FALSE)</f>
        <v>1.21E-2</v>
      </c>
    </row>
    <row r="65" spans="1:26" ht="15" hidden="1" customHeight="1" x14ac:dyDescent="0.2">
      <c r="A65"/>
      <c r="B65"/>
      <c r="C65"/>
      <c r="D65"/>
      <c r="E65"/>
      <c r="F65"/>
      <c r="G65"/>
      <c r="I65" t="str">
        <f t="shared" ca="1" si="1"/>
        <v/>
      </c>
      <c r="J65" s="680" t="str">
        <f>IF($J$17=$A$146,"Margem bruta da empresa de consultoria","Lucro")</f>
        <v>Lucro</v>
      </c>
      <c r="K65" s="680"/>
      <c r="L65" s="680"/>
      <c r="M65" s="680"/>
      <c r="N65" s="680"/>
      <c r="O65" s="680"/>
      <c r="P65" s="680"/>
      <c r="Q65" s="680"/>
      <c r="R65" s="72" t="str">
        <f>IF($J57=$A$146,"K3","L")</f>
        <v>L</v>
      </c>
      <c r="S65" s="73"/>
      <c r="U65" s="684" t="s">
        <v>168</v>
      </c>
      <c r="V65" s="684"/>
      <c r="W65" s="684"/>
      <c r="X65" s="74">
        <f>VLOOKUP(CONCATENATE(J57,"-",R65),$C$2:$G$136,3,FALSE)</f>
        <v>6.6400000000000001E-2</v>
      </c>
      <c r="Y65" s="74">
        <f>VLOOKUP(CONCATENATE(J57,"-",R65),$C$2:$G$136,4,FALSE)</f>
        <v>7.2999999999999995E-2</v>
      </c>
      <c r="Z65" s="74">
        <f>VLOOKUP(CONCATENATE(J57,"-",R65),$C$2:$G$136,5,FALSE)</f>
        <v>8.6899999999999991E-2</v>
      </c>
    </row>
    <row r="66" spans="1:26" ht="15" hidden="1" customHeight="1" x14ac:dyDescent="0.2">
      <c r="A66"/>
      <c r="B66"/>
      <c r="C66"/>
      <c r="D66"/>
      <c r="E66"/>
      <c r="F66"/>
      <c r="G66"/>
      <c r="I66" t="str">
        <f t="shared" ca="1" si="1"/>
        <v/>
      </c>
      <c r="J66" s="680" t="s">
        <v>170</v>
      </c>
      <c r="K66" s="680"/>
      <c r="L66" s="680"/>
      <c r="M66" s="680"/>
      <c r="N66" s="680"/>
      <c r="O66" s="680"/>
      <c r="P66" s="680"/>
      <c r="Q66" s="680"/>
      <c r="R66" s="72" t="s">
        <v>171</v>
      </c>
      <c r="S66" s="73"/>
      <c r="U66" s="684" t="s">
        <v>168</v>
      </c>
      <c r="V66" s="684"/>
      <c r="W66" s="684"/>
      <c r="X66" s="74">
        <v>3.6499999999999998E-2</v>
      </c>
      <c r="Y66" s="74">
        <v>3.6499999999999998E-2</v>
      </c>
      <c r="Z66" s="74">
        <v>3.6499999999999998E-2</v>
      </c>
    </row>
    <row r="67" spans="1:26" ht="15" hidden="1" customHeight="1" x14ac:dyDescent="0.2">
      <c r="A67"/>
      <c r="B67"/>
      <c r="C67"/>
      <c r="D67"/>
      <c r="E67"/>
      <c r="F67"/>
      <c r="G67"/>
      <c r="I67" t="str">
        <f t="shared" ca="1" si="1"/>
        <v/>
      </c>
      <c r="J67" s="680" t="s">
        <v>172</v>
      </c>
      <c r="K67" s="680"/>
      <c r="L67" s="680"/>
      <c r="M67" s="680"/>
      <c r="N67" s="680"/>
      <c r="O67" s="680"/>
      <c r="P67" s="680"/>
      <c r="Q67" s="680"/>
      <c r="R67" s="72" t="s">
        <v>173</v>
      </c>
      <c r="S67" s="74">
        <f ca="1">IF(AND($J57&lt;&gt;$A$145,COUNTA(OFFSET(S60,1,0,6))&gt;0),$R$11*$R$10,0)</f>
        <v>0</v>
      </c>
      <c r="U67" s="684" t="s">
        <v>168</v>
      </c>
      <c r="V67" s="684"/>
      <c r="W67" s="684"/>
      <c r="X67" s="74">
        <v>0</v>
      </c>
      <c r="Y67" s="74">
        <v>2.5000000000000001E-2</v>
      </c>
      <c r="Z67" s="74">
        <v>0.05</v>
      </c>
    </row>
    <row r="68" spans="1:26" ht="15" hidden="1" customHeight="1" x14ac:dyDescent="0.2">
      <c r="A68"/>
      <c r="B68"/>
      <c r="C68"/>
      <c r="D68"/>
      <c r="E68"/>
      <c r="F68"/>
      <c r="G68"/>
      <c r="I68" t="str">
        <f t="shared" ca="1" si="1"/>
        <v/>
      </c>
      <c r="J68" s="680" t="s">
        <v>174</v>
      </c>
      <c r="K68" s="680"/>
      <c r="L68" s="680"/>
      <c r="M68" s="680"/>
      <c r="N68" s="680"/>
      <c r="O68" s="680"/>
      <c r="P68" s="680"/>
      <c r="Q68" s="680"/>
      <c r="R68" s="72" t="s">
        <v>175</v>
      </c>
      <c r="S68" s="74">
        <f ca="1">IF(BDI.Opcao&lt;&gt;"Desonerado",0,IF(AND($J57&lt;&gt;$A$145,COUNTA(OFFSET(S60,1,0,6))&gt;0),4.5%,0%))</f>
        <v>0</v>
      </c>
      <c r="U68" s="684" t="s">
        <v>168</v>
      </c>
      <c r="V68" s="684"/>
      <c r="W68" s="684"/>
      <c r="X68" s="75">
        <v>0</v>
      </c>
      <c r="Y68" s="75">
        <v>4.4999999999999998E-2</v>
      </c>
      <c r="Z68" s="75">
        <v>4.4999999999999998E-2</v>
      </c>
    </row>
    <row r="69" spans="1:26" ht="15" hidden="1" customHeight="1" x14ac:dyDescent="0.2">
      <c r="A69"/>
      <c r="B69"/>
      <c r="C69"/>
      <c r="D69"/>
      <c r="E69"/>
      <c r="F69"/>
      <c r="G69"/>
      <c r="I69" t="str">
        <f t="shared" ca="1" si="1"/>
        <v/>
      </c>
      <c r="J69" s="680" t="s">
        <v>176</v>
      </c>
      <c r="K69" s="680"/>
      <c r="L69" s="680"/>
      <c r="M69" s="680"/>
      <c r="N69" s="680"/>
      <c r="O69" s="680"/>
      <c r="P69" s="680"/>
      <c r="Q69" s="680"/>
      <c r="R69" s="76" t="s">
        <v>152</v>
      </c>
      <c r="S69" s="74">
        <f ca="1">IF($J57=$A$145,0,ROUND((((1+S61+S62+S63)*(1+S64)*(1+S65)/(1-(S66+S67)))-1),4))</f>
        <v>0</v>
      </c>
      <c r="U69" s="686" t="str">
        <f ca="1">IF(OR($J$17=$A$146,$J$17=$A$145,AND(S69&gt;=X69,S69&lt;=Z69)),"OK","FORA DO INTERVALO")</f>
        <v>FORA DO INTERVALO</v>
      </c>
      <c r="V69" s="686"/>
      <c r="W69" s="686"/>
      <c r="X69" s="74">
        <f>IF($J57=$A$145,0,VLOOKUP(CONCATENATE($J57,"-",$R69),$C$2:$G$136,3,FALSE))</f>
        <v>0.19600000000000001</v>
      </c>
      <c r="Y69" s="74">
        <f>IF($J57=$A$145,0,VLOOKUP(CONCATENATE($J57,"-",$R69),$C$2:$G$136,4,FALSE))</f>
        <v>0.2097</v>
      </c>
      <c r="Z69" s="74">
        <f>IF($J57=$A$145,0,VLOOKUP(CONCATENATE($J57,"-",$R69),$C$2:$G$136,5,FALSE))</f>
        <v>0.24230000000000002</v>
      </c>
    </row>
    <row r="70" spans="1:26" ht="15" hidden="1" customHeight="1" x14ac:dyDescent="0.2">
      <c r="A70"/>
      <c r="B70"/>
      <c r="C70"/>
      <c r="D70"/>
      <c r="E70"/>
      <c r="F70"/>
      <c r="G70"/>
      <c r="I70" t="str">
        <f t="shared" ca="1" si="1"/>
        <v/>
      </c>
      <c r="J70" s="687" t="s">
        <v>177</v>
      </c>
      <c r="K70" s="687"/>
      <c r="L70" s="687"/>
      <c r="M70" s="687"/>
      <c r="N70" s="687"/>
      <c r="O70" s="687"/>
      <c r="P70" s="687"/>
      <c r="Q70" s="687"/>
      <c r="R70" s="77" t="s">
        <v>178</v>
      </c>
      <c r="S70" s="78">
        <f ca="1">IF($J57=$A$145,0,ROUND((((1+S61+S62+S63)*(1+S64)*(1+S65)/(1-(S66+S67+S68)))-1),4))</f>
        <v>0</v>
      </c>
    </row>
    <row r="71" spans="1:26" ht="25.5" hidden="1" customHeight="1" x14ac:dyDescent="0.2">
      <c r="A71"/>
      <c r="B71"/>
      <c r="C71"/>
      <c r="D71"/>
      <c r="E71"/>
      <c r="F71"/>
      <c r="G71"/>
      <c r="I71" t="str">
        <f t="shared" ca="1" si="1"/>
        <v/>
      </c>
    </row>
    <row r="72" spans="1:26" ht="15.75" hidden="1" x14ac:dyDescent="0.2">
      <c r="A72"/>
      <c r="B72"/>
      <c r="C72"/>
      <c r="D72"/>
      <c r="E72"/>
      <c r="F72"/>
      <c r="G72"/>
      <c r="I72" t="str">
        <f t="shared" ca="1" si="1"/>
        <v/>
      </c>
      <c r="J72" s="79" t="str">
        <f ca="1">IF(U69&lt;&gt;"ok","X","")</f>
        <v>X</v>
      </c>
      <c r="K72" s="688" t="str">
        <f ca="1">IF(U69&lt;&gt;"ok","Anexo: Relatório Técnico Circunstanciado justificando a adoção do percentual de cada parcela do BDI.","")</f>
        <v>Anexo: Relatório Técnico Circunstanciado justificando a adoção do percentual de cada parcela do BDI.</v>
      </c>
      <c r="L72" s="688"/>
      <c r="M72" s="688"/>
      <c r="N72" s="688"/>
      <c r="O72" s="688"/>
      <c r="P72" s="688"/>
      <c r="Q72" s="688"/>
      <c r="R72" s="688"/>
      <c r="S72" s="688"/>
    </row>
    <row r="73" spans="1:26" hidden="1" x14ac:dyDescent="0.2">
      <c r="A73"/>
      <c r="B73"/>
      <c r="C73"/>
      <c r="D73"/>
      <c r="E73"/>
      <c r="F73"/>
      <c r="G73"/>
      <c r="I73" t="str">
        <f t="shared" ca="1" si="1"/>
        <v/>
      </c>
    </row>
    <row r="74" spans="1:26" hidden="1" x14ac:dyDescent="0.2">
      <c r="A74"/>
      <c r="B74"/>
      <c r="C74"/>
      <c r="D74"/>
      <c r="E74"/>
      <c r="F74"/>
      <c r="G74"/>
      <c r="I74" t="str">
        <f t="shared" ca="1" si="1"/>
        <v/>
      </c>
      <c r="J74" s="679" t="s">
        <v>180</v>
      </c>
      <c r="K74" s="679"/>
      <c r="L74" s="679"/>
      <c r="M74" s="679"/>
      <c r="N74" s="679"/>
      <c r="O74" s="679"/>
      <c r="P74" s="679"/>
      <c r="Q74" s="679"/>
      <c r="R74" s="679"/>
      <c r="S74" s="679"/>
    </row>
    <row r="75" spans="1:26" ht="15.75" hidden="1" x14ac:dyDescent="0.25">
      <c r="A75"/>
      <c r="B75"/>
      <c r="C75"/>
      <c r="D75"/>
      <c r="E75"/>
      <c r="F75"/>
      <c r="G75"/>
      <c r="I75" t="str">
        <f t="shared" ca="1" si="1"/>
        <v/>
      </c>
      <c r="J75" s="80"/>
      <c r="K75" s="80"/>
      <c r="L75" s="80"/>
      <c r="M75" s="681" t="s">
        <v>181</v>
      </c>
      <c r="N75" s="682" t="str">
        <f>IF($J57=$A$146,"(1+K1+K2)*(1+K3)","(1+AC + S + R + G)*(1 + DF)*(1+L)")</f>
        <v>(1+AC + S + R + G)*(1 + DF)*(1+L)</v>
      </c>
      <c r="O75" s="682"/>
      <c r="P75" s="682"/>
      <c r="Q75" s="683" t="s">
        <v>182</v>
      </c>
      <c r="R75" s="80"/>
      <c r="S75" s="80"/>
    </row>
    <row r="76" spans="1:26" ht="15.75" hidden="1" x14ac:dyDescent="0.2">
      <c r="A76"/>
      <c r="B76"/>
      <c r="C76"/>
      <c r="D76"/>
      <c r="E76"/>
      <c r="F76"/>
      <c r="G76"/>
      <c r="I76" t="str">
        <f t="shared" ca="1" si="1"/>
        <v/>
      </c>
      <c r="J76" s="80"/>
      <c r="K76" s="80"/>
      <c r="L76" s="80"/>
      <c r="M76" s="681"/>
      <c r="N76" s="685" t="s">
        <v>183</v>
      </c>
      <c r="O76" s="685"/>
      <c r="P76" s="685"/>
      <c r="Q76" s="683"/>
      <c r="R76" s="80"/>
      <c r="S76" s="80"/>
    </row>
    <row r="77" spans="1:26" ht="15" hidden="1" customHeight="1" x14ac:dyDescent="0.2">
      <c r="A77"/>
      <c r="B77"/>
      <c r="C77"/>
      <c r="D77"/>
      <c r="E77"/>
      <c r="F77"/>
      <c r="G77"/>
      <c r="I77" t="str">
        <f t="shared" ca="1" si="1"/>
        <v/>
      </c>
      <c r="J77" s="80"/>
      <c r="K77" s="80"/>
      <c r="L77" s="80"/>
      <c r="M77" s="81"/>
      <c r="N77" s="83"/>
      <c r="O77" s="83"/>
      <c r="P77" s="83"/>
      <c r="Q77" s="82"/>
      <c r="R77" s="80"/>
      <c r="S77" s="80"/>
    </row>
    <row r="78" spans="1:26" ht="50.1" hidden="1" customHeight="1" x14ac:dyDescent="0.2">
      <c r="A78"/>
      <c r="B78"/>
      <c r="C78"/>
      <c r="D78"/>
      <c r="E78"/>
      <c r="F78"/>
      <c r="G78"/>
      <c r="I78" t="str">
        <f t="shared" ca="1" si="1"/>
        <v/>
      </c>
      <c r="J78" s="672" t="str">
        <f>CONCATENATE("Declaro para os devidos fins que, conforme legislação tributária municipal, a base de cálculo deste tipo de obra corresponde à ",$R$10*100,"%, com a respectiva alíquota de ",$R$11*100,"%.")</f>
        <v>Declaro para os devidos fins que, conforme legislação tributária municipal, a base de cálculo deste tipo de obra corresponde à 100%, com a respectiva alíquota de 3%.</v>
      </c>
      <c r="K78" s="672"/>
      <c r="L78" s="672"/>
      <c r="M78" s="672"/>
      <c r="N78" s="672"/>
      <c r="O78" s="672"/>
      <c r="P78" s="672"/>
      <c r="Q78" s="672"/>
      <c r="R78" s="672"/>
      <c r="S78" s="672"/>
    </row>
    <row r="79" spans="1:26" hidden="1" x14ac:dyDescent="0.2">
      <c r="A79"/>
      <c r="B79"/>
      <c r="C79"/>
      <c r="D79"/>
      <c r="E79"/>
      <c r="F79"/>
      <c r="G79"/>
      <c r="I79" t="str">
        <f t="shared" ca="1" si="1"/>
        <v/>
      </c>
    </row>
    <row r="80" spans="1:26" ht="50.1" hidden="1" customHeight="1" x14ac:dyDescent="0.2">
      <c r="A80"/>
      <c r="B80"/>
      <c r="C80"/>
      <c r="D80"/>
      <c r="E80"/>
      <c r="F80"/>
      <c r="G80"/>
      <c r="I80" t="str">
        <f t="shared" ca="1" si="1"/>
        <v/>
      </c>
      <c r="J80" s="672" t="str">
        <f ca="1">CONCATENATE("Declaro para os devidos fins que o regime de Contribuição Previdenciária sobre a Receita Bruta adotado para elaboração do orçamento foi ",IF(DESONERACAO="Sim","COM","SEM")," Desoneração, e que esta é a alternativa mais adequada para a Administração Pública.")</f>
        <v>Declaro para os devidos fins que o regime de Contribuição Previdenciária sobre a Receita Bruta adotado para elaboração do orçamento foi SEM Desoneração, e que esta é a alternativa mais adequada para a Administração Pública.</v>
      </c>
      <c r="K80" s="672"/>
      <c r="L80" s="672"/>
      <c r="M80" s="672"/>
      <c r="N80" s="672"/>
      <c r="O80" s="672"/>
      <c r="P80" s="672"/>
      <c r="Q80" s="672"/>
      <c r="R80" s="672"/>
      <c r="S80" s="672"/>
    </row>
    <row r="81" spans="1:19" hidden="1" x14ac:dyDescent="0.2">
      <c r="A81"/>
      <c r="B81"/>
      <c r="C81"/>
      <c r="D81"/>
      <c r="E81"/>
      <c r="F81"/>
      <c r="G81"/>
      <c r="I81" t="str">
        <f t="shared" ca="1" si="1"/>
        <v/>
      </c>
    </row>
    <row r="82" spans="1:19" hidden="1" x14ac:dyDescent="0.2">
      <c r="A82"/>
      <c r="B82"/>
      <c r="C82"/>
      <c r="D82"/>
      <c r="E82"/>
      <c r="F82"/>
      <c r="G82"/>
      <c r="I82" t="str">
        <f t="shared" ca="1" si="1"/>
        <v/>
      </c>
      <c r="J82" s="61" t="s">
        <v>189</v>
      </c>
    </row>
    <row r="83" spans="1:19" ht="99.95" hidden="1" customHeight="1" x14ac:dyDescent="0.2">
      <c r="A83"/>
      <c r="B83"/>
      <c r="C83"/>
      <c r="D83"/>
      <c r="E83"/>
      <c r="F83"/>
      <c r="G83"/>
      <c r="I83" t="str">
        <f t="shared" ca="1" si="1"/>
        <v/>
      </c>
      <c r="J83" s="673"/>
      <c r="K83" s="673"/>
      <c r="L83" s="673"/>
      <c r="M83" s="673"/>
      <c r="N83" s="673"/>
      <c r="O83" s="673"/>
      <c r="P83" s="673"/>
      <c r="Q83" s="673"/>
      <c r="R83" s="673"/>
      <c r="S83" s="673"/>
    </row>
    <row r="84" spans="1:19" hidden="1" x14ac:dyDescent="0.2">
      <c r="A84"/>
      <c r="B84"/>
      <c r="C84"/>
      <c r="D84"/>
      <c r="E84"/>
      <c r="F84"/>
      <c r="G84"/>
      <c r="I84" t="str">
        <f t="shared" ca="1" si="1"/>
        <v/>
      </c>
    </row>
    <row r="85" spans="1:19" hidden="1" x14ac:dyDescent="0.2">
      <c r="A85"/>
      <c r="B85"/>
      <c r="C85"/>
      <c r="D85"/>
      <c r="E85"/>
      <c r="F85"/>
      <c r="G85"/>
      <c r="I85" t="str">
        <f t="shared" ca="1" si="1"/>
        <v/>
      </c>
      <c r="J85" s="674" t="str">
        <f>Import.Município</f>
        <v>CONCEIÇÃO DOS OUROS/MG</v>
      </c>
      <c r="K85" s="674"/>
      <c r="L85" s="674"/>
      <c r="M85" s="674"/>
      <c r="P85" s="675">
        <f>DADOS!$F$25</f>
        <v>45391</v>
      </c>
      <c r="Q85" s="675"/>
      <c r="R85" s="675"/>
      <c r="S85" s="675"/>
    </row>
    <row r="86" spans="1:19" hidden="1" x14ac:dyDescent="0.2">
      <c r="A86"/>
      <c r="B86"/>
      <c r="C86"/>
      <c r="D86"/>
      <c r="E86"/>
      <c r="F86"/>
      <c r="G86"/>
      <c r="I86" t="str">
        <f t="shared" ca="1" si="1"/>
        <v/>
      </c>
      <c r="J86" s="676" t="s">
        <v>190</v>
      </c>
      <c r="K86" s="676"/>
      <c r="L86" s="676"/>
      <c r="M86" s="676"/>
      <c r="O86" s="85"/>
      <c r="P86" s="86" t="s">
        <v>191</v>
      </c>
      <c r="Q86" s="87"/>
      <c r="R86" s="87"/>
      <c r="S86" s="87"/>
    </row>
    <row r="87" spans="1:19" ht="30" hidden="1" customHeight="1" x14ac:dyDescent="0.2">
      <c r="A87"/>
      <c r="B87"/>
      <c r="C87"/>
      <c r="D87"/>
      <c r="E87"/>
      <c r="F87"/>
      <c r="G87"/>
      <c r="I87" t="str">
        <f t="shared" ca="1" si="1"/>
        <v/>
      </c>
    </row>
    <row r="88" spans="1:19" ht="15" hidden="1" x14ac:dyDescent="0.2">
      <c r="A88"/>
      <c r="B88"/>
      <c r="C88"/>
      <c r="D88"/>
      <c r="E88"/>
      <c r="F88"/>
      <c r="G88"/>
      <c r="I88" t="str">
        <f t="shared" ca="1" si="1"/>
        <v/>
      </c>
      <c r="J88" s="677"/>
      <c r="K88" s="677"/>
      <c r="L88" s="677"/>
      <c r="M88" s="677"/>
      <c r="N88" s="88"/>
    </row>
    <row r="89" spans="1:19" hidden="1" x14ac:dyDescent="0.2">
      <c r="A89"/>
      <c r="B89"/>
      <c r="C89"/>
      <c r="D89"/>
      <c r="E89"/>
      <c r="F89"/>
      <c r="G89"/>
      <c r="I89" t="str">
        <f t="shared" ca="1" si="1"/>
        <v/>
      </c>
      <c r="J89" s="671" t="s">
        <v>192</v>
      </c>
      <c r="K89" s="671"/>
      <c r="L89" s="671"/>
      <c r="M89" s="671"/>
      <c r="N89" s="89"/>
    </row>
    <row r="90" spans="1:19" ht="14.25" hidden="1" x14ac:dyDescent="0.2">
      <c r="A90"/>
      <c r="B90"/>
      <c r="C90"/>
      <c r="D90"/>
      <c r="E90"/>
      <c r="F90"/>
      <c r="G90"/>
      <c r="I90" t="str">
        <f t="shared" ca="1" si="1"/>
        <v/>
      </c>
      <c r="J90" s="90" t="s">
        <v>109</v>
      </c>
      <c r="K90" s="91" t="str">
        <f t="array" ref="K90:K92">Import.RespOrçamento</f>
        <v>JOSÉ AIRTON JUNHO DOS REIS</v>
      </c>
      <c r="L90" s="92"/>
      <c r="M90" s="92"/>
      <c r="N90" s="93"/>
    </row>
    <row r="91" spans="1:19" ht="14.25" hidden="1" x14ac:dyDescent="0.2">
      <c r="A91"/>
      <c r="B91"/>
      <c r="C91"/>
      <c r="D91"/>
      <c r="E91"/>
      <c r="F91"/>
      <c r="G91"/>
      <c r="I91" t="str">
        <f t="shared" ca="1" si="1"/>
        <v/>
      </c>
      <c r="J91" s="90" t="s">
        <v>110</v>
      </c>
      <c r="K91" s="91" t="str">
        <v>56.250/D</v>
      </c>
      <c r="L91" s="92"/>
      <c r="M91" s="92"/>
      <c r="N91" s="93"/>
    </row>
    <row r="92" spans="1:19" ht="14.25" hidden="1" x14ac:dyDescent="0.2">
      <c r="A92"/>
      <c r="B92"/>
      <c r="C92"/>
      <c r="D92"/>
      <c r="E92"/>
      <c r="F92"/>
      <c r="G92"/>
      <c r="I92" t="str">
        <f t="shared" ca="1" si="1"/>
        <v/>
      </c>
      <c r="J92" s="90" t="s">
        <v>111</v>
      </c>
      <c r="K92" s="91" t="str">
        <v>MG20242788680</v>
      </c>
      <c r="L92" s="92"/>
      <c r="M92" s="92"/>
      <c r="N92" s="93"/>
    </row>
    <row r="93" spans="1:19" ht="14.25" hidden="1" x14ac:dyDescent="0.2">
      <c r="A93"/>
      <c r="B93"/>
      <c r="C93"/>
      <c r="D93"/>
      <c r="E93"/>
      <c r="F93"/>
      <c r="G93"/>
      <c r="I93" t="str">
        <f t="shared" ca="1" si="1"/>
        <v/>
      </c>
      <c r="J93" s="90"/>
      <c r="K93" s="94"/>
      <c r="L93" s="92"/>
      <c r="M93" s="92"/>
      <c r="N93" s="93"/>
    </row>
    <row r="94" spans="1:19" ht="15.75" hidden="1" x14ac:dyDescent="0.25">
      <c r="A94"/>
      <c r="B94"/>
      <c r="C94"/>
      <c r="D94"/>
      <c r="E94"/>
      <c r="F94"/>
      <c r="G94"/>
      <c r="I94" t="str">
        <f ca="1">IF($S$109=0,"","F")</f>
        <v/>
      </c>
      <c r="J94" s="693" t="s">
        <v>194</v>
      </c>
      <c r="K94" s="693"/>
      <c r="L94" s="693"/>
      <c r="M94" s="693"/>
      <c r="N94" s="693"/>
      <c r="O94" s="693"/>
      <c r="P94" s="693"/>
      <c r="Q94" s="693"/>
      <c r="R94" s="693"/>
      <c r="S94" s="693"/>
    </row>
    <row r="95" spans="1:19" hidden="1" x14ac:dyDescent="0.2">
      <c r="A95"/>
      <c r="B95"/>
      <c r="C95"/>
      <c r="D95"/>
      <c r="E95"/>
      <c r="F95"/>
      <c r="G95"/>
      <c r="I95" t="str">
        <f t="shared" ref="I95:I132" ca="1" si="2">IF($S$109=0,"","F")</f>
        <v/>
      </c>
    </row>
    <row r="96" spans="1:19" hidden="1" x14ac:dyDescent="0.2">
      <c r="A96"/>
      <c r="B96"/>
      <c r="C96"/>
      <c r="D96"/>
      <c r="E96"/>
      <c r="F96"/>
      <c r="G96"/>
      <c r="I96" t="str">
        <f t="shared" ca="1" si="2"/>
        <v/>
      </c>
      <c r="J96" s="689" t="s">
        <v>159</v>
      </c>
      <c r="K96" s="689"/>
      <c r="L96" s="689"/>
      <c r="M96" s="689"/>
      <c r="N96" s="689"/>
      <c r="O96" s="689"/>
      <c r="P96" s="689"/>
      <c r="Q96" s="689"/>
      <c r="R96" s="689"/>
      <c r="S96" s="689"/>
    </row>
    <row r="97" spans="1:26" hidden="1" x14ac:dyDescent="0.2">
      <c r="A97"/>
      <c r="B97"/>
      <c r="C97"/>
      <c r="D97"/>
      <c r="E97"/>
      <c r="F97"/>
      <c r="G97"/>
      <c r="I97" t="str">
        <f t="shared" ca="1" si="2"/>
        <v/>
      </c>
      <c r="J97" s="690" t="s">
        <v>410</v>
      </c>
      <c r="K97" s="690"/>
      <c r="L97" s="690"/>
      <c r="M97" s="690"/>
      <c r="N97" s="690"/>
      <c r="O97" s="690"/>
      <c r="P97" s="690"/>
      <c r="Q97" s="690"/>
      <c r="R97" s="690"/>
      <c r="S97" s="690"/>
    </row>
    <row r="98" spans="1:26" hidden="1" x14ac:dyDescent="0.2">
      <c r="A98"/>
      <c r="B98"/>
      <c r="C98"/>
      <c r="D98"/>
      <c r="E98"/>
      <c r="F98"/>
      <c r="G98"/>
      <c r="I98" t="str">
        <f t="shared" ca="1" si="2"/>
        <v/>
      </c>
    </row>
    <row r="99" spans="1:26" ht="12.75" hidden="1" customHeight="1" x14ac:dyDescent="0.2">
      <c r="A99"/>
      <c r="B99"/>
      <c r="C99"/>
      <c r="D99"/>
      <c r="E99"/>
      <c r="F99"/>
      <c r="G99"/>
      <c r="I99" t="str">
        <f t="shared" ca="1" si="2"/>
        <v/>
      </c>
      <c r="J99" s="692" t="s">
        <v>160</v>
      </c>
      <c r="K99" s="692"/>
      <c r="L99" s="692"/>
      <c r="M99" s="692"/>
      <c r="N99" s="692"/>
      <c r="O99" s="692"/>
      <c r="P99" s="692"/>
      <c r="Q99" s="692"/>
      <c r="R99" s="692" t="s">
        <v>161</v>
      </c>
      <c r="S99" s="686" t="s">
        <v>162</v>
      </c>
      <c r="U99" s="686" t="s">
        <v>163</v>
      </c>
      <c r="V99" s="686"/>
      <c r="W99" s="686"/>
      <c r="X99" s="691" t="s">
        <v>164</v>
      </c>
      <c r="Y99" s="691" t="s">
        <v>165</v>
      </c>
      <c r="Z99" s="691" t="s">
        <v>166</v>
      </c>
    </row>
    <row r="100" spans="1:26" ht="12.75" hidden="1" customHeight="1" x14ac:dyDescent="0.2">
      <c r="A100"/>
      <c r="B100"/>
      <c r="C100"/>
      <c r="D100"/>
      <c r="E100"/>
      <c r="F100"/>
      <c r="G100"/>
      <c r="I100" t="str">
        <f t="shared" ca="1" si="2"/>
        <v/>
      </c>
      <c r="J100" s="692"/>
      <c r="K100" s="692"/>
      <c r="L100" s="692"/>
      <c r="M100" s="692"/>
      <c r="N100" s="692"/>
      <c r="O100" s="692"/>
      <c r="P100" s="692"/>
      <c r="Q100" s="692"/>
      <c r="R100" s="692"/>
      <c r="S100" s="686"/>
      <c r="U100" s="686"/>
      <c r="V100" s="686"/>
      <c r="W100" s="686"/>
      <c r="X100" s="691"/>
      <c r="Y100" s="691"/>
      <c r="Z100" s="691"/>
    </row>
    <row r="101" spans="1:26" ht="15" hidden="1" customHeight="1" x14ac:dyDescent="0.2">
      <c r="A101"/>
      <c r="B101"/>
      <c r="C101"/>
      <c r="D101"/>
      <c r="E101"/>
      <c r="F101"/>
      <c r="G101"/>
      <c r="I101" t="str">
        <f t="shared" ca="1" si="2"/>
        <v/>
      </c>
      <c r="J101" s="680" t="str">
        <f>IF($J$17=$A$146,"Encargos Sociais incidentes sobre a mão de obra","Administração Central")</f>
        <v>Administração Central</v>
      </c>
      <c r="K101" s="680"/>
      <c r="L101" s="680"/>
      <c r="M101" s="680"/>
      <c r="N101" s="680"/>
      <c r="O101" s="680"/>
      <c r="P101" s="680"/>
      <c r="Q101" s="680"/>
      <c r="R101" s="72" t="str">
        <f>IF($J97=$A$146,"K1","AC")</f>
        <v>AC</v>
      </c>
      <c r="S101" s="73"/>
      <c r="U101" s="684" t="s">
        <v>168</v>
      </c>
      <c r="V101" s="684"/>
      <c r="W101" s="684"/>
      <c r="X101" s="74" t="e">
        <f>VLOOKUP(CONCATENATE(J97,"-",R101),$C$2:$G$136,3,FALSE)</f>
        <v>#N/A</v>
      </c>
      <c r="Y101" s="74" t="e">
        <f>VLOOKUP(CONCATENATE(J97,"-",R101),$C$2:$G$136,4,FALSE)</f>
        <v>#N/A</v>
      </c>
      <c r="Z101" s="74" t="e">
        <f>VLOOKUP(CONCATENATE(J97,"-",R101),$C$2:$G$136,5,FALSE)</f>
        <v>#N/A</v>
      </c>
    </row>
    <row r="102" spans="1:26" ht="15" hidden="1" customHeight="1" x14ac:dyDescent="0.2">
      <c r="A102"/>
      <c r="B102"/>
      <c r="C102"/>
      <c r="D102"/>
      <c r="E102"/>
      <c r="F102"/>
      <c r="G102"/>
      <c r="I102" t="str">
        <f t="shared" ca="1" si="2"/>
        <v/>
      </c>
      <c r="J102" s="680" t="str">
        <f>IF($J$17=$A$146,"Administração Central da empresa ou consultoria - overhead","Seguro e Garantia")</f>
        <v>Seguro e Garantia</v>
      </c>
      <c r="K102" s="680"/>
      <c r="L102" s="680"/>
      <c r="M102" s="680"/>
      <c r="N102" s="680"/>
      <c r="O102" s="680"/>
      <c r="P102" s="680"/>
      <c r="Q102" s="680"/>
      <c r="R102" s="72" t="str">
        <f>IF($J97=$A$146,"K2","SG")</f>
        <v>SG</v>
      </c>
      <c r="S102" s="73"/>
      <c r="U102" s="684" t="s">
        <v>168</v>
      </c>
      <c r="V102" s="684"/>
      <c r="W102" s="684"/>
      <c r="X102" s="74" t="e">
        <f>VLOOKUP(CONCATENATE(J97,"-",R102),$C$2:$G$136,3,FALSE)</f>
        <v>#N/A</v>
      </c>
      <c r="Y102" s="74" t="e">
        <f>VLOOKUP(CONCATENATE(J97,"-",R102),$C$2:$G$136,4,FALSE)</f>
        <v>#N/A</v>
      </c>
      <c r="Z102" s="74" t="e">
        <f>VLOOKUP(CONCATENATE(J97,"-",R102),$C$2:$G$136,5,FALSE)</f>
        <v>#N/A</v>
      </c>
    </row>
    <row r="103" spans="1:26" ht="15" hidden="1" customHeight="1" x14ac:dyDescent="0.2">
      <c r="A103"/>
      <c r="B103"/>
      <c r="C103"/>
      <c r="D103"/>
      <c r="E103"/>
      <c r="F103"/>
      <c r="G103"/>
      <c r="I103" t="str">
        <f t="shared" ca="1" si="2"/>
        <v/>
      </c>
      <c r="J103" s="680" t="str">
        <f>IF($J$17=$A$146,"","Risco")</f>
        <v>Risco</v>
      </c>
      <c r="K103" s="680"/>
      <c r="L103" s="680"/>
      <c r="M103" s="680"/>
      <c r="N103" s="680"/>
      <c r="O103" s="680"/>
      <c r="P103" s="680"/>
      <c r="Q103" s="680"/>
      <c r="R103" s="72" t="str">
        <f>IF($J97=$A$146,"","R")</f>
        <v>R</v>
      </c>
      <c r="S103" s="73"/>
      <c r="U103" s="684" t="s">
        <v>168</v>
      </c>
      <c r="V103" s="684"/>
      <c r="W103" s="684"/>
      <c r="X103" s="74" t="e">
        <f>VLOOKUP(CONCATENATE(J97,"-",R103),$C$2:$G$136,3,FALSE)</f>
        <v>#N/A</v>
      </c>
      <c r="Y103" s="74" t="e">
        <f>VLOOKUP(CONCATENATE(J97,"-",R103),$C$2:$G$136,4,FALSE)</f>
        <v>#N/A</v>
      </c>
      <c r="Z103" s="74" t="e">
        <f>VLOOKUP(CONCATENATE(J97,"-",R103),$C$2:$G$136,5,FALSE)</f>
        <v>#N/A</v>
      </c>
    </row>
    <row r="104" spans="1:26" ht="15" hidden="1" customHeight="1" x14ac:dyDescent="0.2">
      <c r="A104"/>
      <c r="B104"/>
      <c r="C104"/>
      <c r="D104"/>
      <c r="E104"/>
      <c r="F104"/>
      <c r="G104"/>
      <c r="I104" t="str">
        <f t="shared" ca="1" si="2"/>
        <v/>
      </c>
      <c r="J104" s="680" t="str">
        <f>IF($J$17=$A$146,"","Despesas Financeiras")</f>
        <v>Despesas Financeiras</v>
      </c>
      <c r="K104" s="680"/>
      <c r="L104" s="680"/>
      <c r="M104" s="680"/>
      <c r="N104" s="680"/>
      <c r="O104" s="680"/>
      <c r="P104" s="680"/>
      <c r="Q104" s="680"/>
      <c r="R104" s="72" t="str">
        <f>IF($J97=$A$146,"","DF")</f>
        <v>DF</v>
      </c>
      <c r="S104" s="73"/>
      <c r="U104" s="684" t="s">
        <v>168</v>
      </c>
      <c r="V104" s="684"/>
      <c r="W104" s="684"/>
      <c r="X104" s="74" t="e">
        <f>VLOOKUP(CONCATENATE(J97,"-",R104),$C$2:$G$136,3,FALSE)</f>
        <v>#N/A</v>
      </c>
      <c r="Y104" s="74" t="e">
        <f>VLOOKUP(CONCATENATE(J97,"-",R104),$C$2:$G$136,4,FALSE)</f>
        <v>#N/A</v>
      </c>
      <c r="Z104" s="74" t="e">
        <f>VLOOKUP(CONCATENATE(J97,"-",R104),$C$2:$G$136,5,FALSE)</f>
        <v>#N/A</v>
      </c>
    </row>
    <row r="105" spans="1:26" ht="15" hidden="1" customHeight="1" x14ac:dyDescent="0.2">
      <c r="A105"/>
      <c r="B105"/>
      <c r="C105"/>
      <c r="D105"/>
      <c r="E105"/>
      <c r="F105"/>
      <c r="G105"/>
      <c r="I105" t="str">
        <f t="shared" ca="1" si="2"/>
        <v/>
      </c>
      <c r="J105" s="680" t="str">
        <f>IF($J$17=$A$146,"Margem bruta da empresa de consultoria","Lucro")</f>
        <v>Lucro</v>
      </c>
      <c r="K105" s="680"/>
      <c r="L105" s="680"/>
      <c r="M105" s="680"/>
      <c r="N105" s="680"/>
      <c r="O105" s="680"/>
      <c r="P105" s="680"/>
      <c r="Q105" s="680"/>
      <c r="R105" s="72" t="str">
        <f>IF($J97=$A$146,"K3","L")</f>
        <v>L</v>
      </c>
      <c r="S105" s="73"/>
      <c r="U105" s="684" t="s">
        <v>168</v>
      </c>
      <c r="V105" s="684"/>
      <c r="W105" s="684"/>
      <c r="X105" s="74" t="e">
        <f>VLOOKUP(CONCATENATE(J97,"-",R105),$C$2:$G$136,3,FALSE)</f>
        <v>#N/A</v>
      </c>
      <c r="Y105" s="74" t="e">
        <f>VLOOKUP(CONCATENATE(J97,"-",R105),$C$2:$G$136,4,FALSE)</f>
        <v>#N/A</v>
      </c>
      <c r="Z105" s="74" t="e">
        <f>VLOOKUP(CONCATENATE(J97,"-",R105),$C$2:$G$136,5,FALSE)</f>
        <v>#N/A</v>
      </c>
    </row>
    <row r="106" spans="1:26" ht="15" hidden="1" customHeight="1" x14ac:dyDescent="0.2">
      <c r="A106"/>
      <c r="B106"/>
      <c r="C106"/>
      <c r="D106"/>
      <c r="E106"/>
      <c r="F106"/>
      <c r="G106"/>
      <c r="I106" t="str">
        <f t="shared" ca="1" si="2"/>
        <v/>
      </c>
      <c r="J106" s="680" t="s">
        <v>170</v>
      </c>
      <c r="K106" s="680"/>
      <c r="L106" s="680"/>
      <c r="M106" s="680"/>
      <c r="N106" s="680"/>
      <c r="O106" s="680"/>
      <c r="P106" s="680"/>
      <c r="Q106" s="680"/>
      <c r="R106" s="72" t="s">
        <v>171</v>
      </c>
      <c r="S106" s="73"/>
      <c r="U106" s="684" t="s">
        <v>168</v>
      </c>
      <c r="V106" s="684"/>
      <c r="W106" s="684"/>
      <c r="X106" s="74">
        <v>3.6499999999999998E-2</v>
      </c>
      <c r="Y106" s="74">
        <v>3.6499999999999998E-2</v>
      </c>
      <c r="Z106" s="74">
        <v>3.6499999999999998E-2</v>
      </c>
    </row>
    <row r="107" spans="1:26" ht="15" hidden="1" customHeight="1" x14ac:dyDescent="0.2">
      <c r="A107"/>
      <c r="B107"/>
      <c r="C107"/>
      <c r="D107"/>
      <c r="E107"/>
      <c r="F107"/>
      <c r="G107"/>
      <c r="I107" t="str">
        <f t="shared" ca="1" si="2"/>
        <v/>
      </c>
      <c r="J107" s="680" t="s">
        <v>172</v>
      </c>
      <c r="K107" s="680"/>
      <c r="L107" s="680"/>
      <c r="M107" s="680"/>
      <c r="N107" s="680"/>
      <c r="O107" s="680"/>
      <c r="P107" s="680"/>
      <c r="Q107" s="680"/>
      <c r="R107" s="72" t="s">
        <v>173</v>
      </c>
      <c r="S107" s="74">
        <f ca="1">IF(AND($J97&lt;&gt;$A$145,COUNTA(OFFSET(S100,1,0,6))&gt;0),$R$11*$R$10,0)</f>
        <v>0</v>
      </c>
      <c r="U107" s="684" t="s">
        <v>168</v>
      </c>
      <c r="V107" s="684"/>
      <c r="W107" s="684"/>
      <c r="X107" s="74">
        <v>0</v>
      </c>
      <c r="Y107" s="74">
        <v>2.5000000000000001E-2</v>
      </c>
      <c r="Z107" s="74">
        <v>0.05</v>
      </c>
    </row>
    <row r="108" spans="1:26" ht="15" hidden="1" customHeight="1" x14ac:dyDescent="0.2">
      <c r="A108"/>
      <c r="B108"/>
      <c r="C108"/>
      <c r="D108"/>
      <c r="E108"/>
      <c r="F108"/>
      <c r="G108"/>
      <c r="I108" t="str">
        <f t="shared" ca="1" si="2"/>
        <v/>
      </c>
      <c r="J108" s="680" t="s">
        <v>174</v>
      </c>
      <c r="K108" s="680"/>
      <c r="L108" s="680"/>
      <c r="M108" s="680"/>
      <c r="N108" s="680"/>
      <c r="O108" s="680"/>
      <c r="P108" s="680"/>
      <c r="Q108" s="680"/>
      <c r="R108" s="72" t="s">
        <v>175</v>
      </c>
      <c r="S108" s="74">
        <f ca="1">IF(BDI.Opcao&lt;&gt;"Desonerado",0,IF(AND($J97&lt;&gt;$A$145,COUNTA(OFFSET(S100,1,0,6))&gt;0),4.5%,0%))</f>
        <v>0</v>
      </c>
      <c r="U108" s="684" t="s">
        <v>168</v>
      </c>
      <c r="V108" s="684"/>
      <c r="W108" s="684"/>
      <c r="X108" s="75">
        <v>0</v>
      </c>
      <c r="Y108" s="75">
        <v>4.4999999999999998E-2</v>
      </c>
      <c r="Z108" s="75">
        <v>4.4999999999999998E-2</v>
      </c>
    </row>
    <row r="109" spans="1:26" ht="15" hidden="1" customHeight="1" x14ac:dyDescent="0.2">
      <c r="A109"/>
      <c r="B109"/>
      <c r="C109"/>
      <c r="D109"/>
      <c r="E109"/>
      <c r="F109"/>
      <c r="G109"/>
      <c r="I109" t="str">
        <f t="shared" ca="1" si="2"/>
        <v/>
      </c>
      <c r="J109" s="680" t="s">
        <v>176</v>
      </c>
      <c r="K109" s="680"/>
      <c r="L109" s="680"/>
      <c r="M109" s="680"/>
      <c r="N109" s="680"/>
      <c r="O109" s="680"/>
      <c r="P109" s="680"/>
      <c r="Q109" s="680"/>
      <c r="R109" s="76" t="s">
        <v>152</v>
      </c>
      <c r="S109" s="74">
        <f ca="1">IF($J97=$A$145,0,ROUND((((1+S101+S102+S103)*(1+S104)*(1+S105)/(1-(S106+S107)))-1),4))</f>
        <v>0</v>
      </c>
      <c r="U109" s="686" t="e">
        <f ca="1">IF(OR($J$17=$A$146,$J$17=$A$145,AND(S109&gt;=X109,S109&lt;=Z109)),"OK","FORA DO INTERVALO")</f>
        <v>#N/A</v>
      </c>
      <c r="V109" s="686"/>
      <c r="W109" s="686"/>
      <c r="X109" s="74" t="e">
        <f>IF($J97=$A$145,0,VLOOKUP(CONCATENATE($J97,"-",$R109),$C$2:$G$136,3,FALSE))</f>
        <v>#N/A</v>
      </c>
      <c r="Y109" s="74" t="e">
        <f>IF($J97=$A$145,0,VLOOKUP(CONCATENATE($J97,"-",$R109),$C$2:$G$136,4,FALSE))</f>
        <v>#N/A</v>
      </c>
      <c r="Z109" s="74" t="e">
        <f>IF($J97=$A$145,0,VLOOKUP(CONCATENATE($J97,"-",$R109),$C$2:$G$136,5,FALSE))</f>
        <v>#N/A</v>
      </c>
    </row>
    <row r="110" spans="1:26" ht="15" hidden="1" customHeight="1" x14ac:dyDescent="0.2">
      <c r="A110"/>
      <c r="B110"/>
      <c r="C110"/>
      <c r="D110"/>
      <c r="E110"/>
      <c r="F110"/>
      <c r="G110"/>
      <c r="I110" t="str">
        <f t="shared" ca="1" si="2"/>
        <v/>
      </c>
      <c r="J110" s="687" t="s">
        <v>177</v>
      </c>
      <c r="K110" s="687"/>
      <c r="L110" s="687"/>
      <c r="M110" s="687"/>
      <c r="N110" s="687"/>
      <c r="O110" s="687"/>
      <c r="P110" s="687"/>
      <c r="Q110" s="687"/>
      <c r="R110" s="77" t="s">
        <v>178</v>
      </c>
      <c r="S110" s="78">
        <f ca="1">IF($J97=$A$145,0,ROUND((((1+S101+S102+S103)*(1+S104)*(1+S105)/(1-(S106+S107+S108)))-1),4))</f>
        <v>0</v>
      </c>
    </row>
    <row r="111" spans="1:26" ht="25.5" hidden="1" customHeight="1" x14ac:dyDescent="0.2">
      <c r="A111"/>
      <c r="B111"/>
      <c r="C111"/>
      <c r="D111"/>
      <c r="E111"/>
      <c r="F111"/>
      <c r="G111"/>
      <c r="I111" t="str">
        <f t="shared" ca="1" si="2"/>
        <v/>
      </c>
    </row>
    <row r="112" spans="1:26" ht="15.75" hidden="1" x14ac:dyDescent="0.2">
      <c r="A112"/>
      <c r="B112"/>
      <c r="C112"/>
      <c r="D112"/>
      <c r="E112"/>
      <c r="F112"/>
      <c r="G112"/>
      <c r="I112" t="str">
        <f t="shared" ca="1" si="2"/>
        <v/>
      </c>
      <c r="J112" s="79" t="e">
        <f ca="1">IF(U109&lt;&gt;"ok","X","")</f>
        <v>#N/A</v>
      </c>
      <c r="K112" s="688" t="e">
        <f ca="1">IF(U109&lt;&gt;"ok","Anexo: Relatório Técnico Circunstanciado justificando a adoção do percentual de cada parcela do BDI.","")</f>
        <v>#N/A</v>
      </c>
      <c r="L112" s="688"/>
      <c r="M112" s="688"/>
      <c r="N112" s="688"/>
      <c r="O112" s="688"/>
      <c r="P112" s="688"/>
      <c r="Q112" s="688"/>
      <c r="R112" s="688"/>
      <c r="S112" s="688"/>
    </row>
    <row r="113" spans="1:19" hidden="1" x14ac:dyDescent="0.2">
      <c r="A113"/>
      <c r="B113"/>
      <c r="C113"/>
      <c r="D113"/>
      <c r="E113"/>
      <c r="F113"/>
      <c r="G113"/>
      <c r="I113" t="str">
        <f t="shared" ca="1" si="2"/>
        <v/>
      </c>
    </row>
    <row r="114" spans="1:19" hidden="1" x14ac:dyDescent="0.2">
      <c r="A114"/>
      <c r="B114"/>
      <c r="C114"/>
      <c r="D114"/>
      <c r="E114"/>
      <c r="F114"/>
      <c r="G114"/>
      <c r="I114" t="str">
        <f t="shared" ca="1" si="2"/>
        <v/>
      </c>
      <c r="J114" s="679" t="s">
        <v>180</v>
      </c>
      <c r="K114" s="679"/>
      <c r="L114" s="679"/>
      <c r="M114" s="679"/>
      <c r="N114" s="679"/>
      <c r="O114" s="679"/>
      <c r="P114" s="679"/>
      <c r="Q114" s="679"/>
      <c r="R114" s="679"/>
      <c r="S114" s="679"/>
    </row>
    <row r="115" spans="1:19" ht="15.75" hidden="1" x14ac:dyDescent="0.25">
      <c r="A115"/>
      <c r="B115"/>
      <c r="C115"/>
      <c r="D115"/>
      <c r="E115"/>
      <c r="F115"/>
      <c r="G115"/>
      <c r="I115" t="str">
        <f t="shared" ca="1" si="2"/>
        <v/>
      </c>
      <c r="J115" s="80"/>
      <c r="K115" s="80"/>
      <c r="L115" s="80"/>
      <c r="M115" s="681" t="s">
        <v>181</v>
      </c>
      <c r="N115" s="682" t="str">
        <f>IF($J97=$A$146,"(1+K1+K2)*(1+K3)","(1+AC + S + R + G)*(1 + DF)*(1+L)")</f>
        <v>(1+AC + S + R + G)*(1 + DF)*(1+L)</v>
      </c>
      <c r="O115" s="682"/>
      <c r="P115" s="682"/>
      <c r="Q115" s="683" t="s">
        <v>182</v>
      </c>
      <c r="R115" s="80"/>
      <c r="S115" s="80"/>
    </row>
    <row r="116" spans="1:19" ht="15.75" hidden="1" x14ac:dyDescent="0.2">
      <c r="A116"/>
      <c r="B116"/>
      <c r="C116"/>
      <c r="D116"/>
      <c r="E116"/>
      <c r="F116"/>
      <c r="G116"/>
      <c r="I116" t="str">
        <f t="shared" ca="1" si="2"/>
        <v/>
      </c>
      <c r="J116" s="80"/>
      <c r="K116" s="80"/>
      <c r="L116" s="80"/>
      <c r="M116" s="681"/>
      <c r="N116" s="685" t="s">
        <v>183</v>
      </c>
      <c r="O116" s="685"/>
      <c r="P116" s="685"/>
      <c r="Q116" s="683"/>
      <c r="R116" s="80"/>
      <c r="S116" s="80"/>
    </row>
    <row r="117" spans="1:19" ht="15" hidden="1" customHeight="1" x14ac:dyDescent="0.2">
      <c r="A117"/>
      <c r="B117"/>
      <c r="C117"/>
      <c r="D117"/>
      <c r="E117"/>
      <c r="F117"/>
      <c r="G117"/>
      <c r="I117" t="str">
        <f t="shared" ca="1" si="2"/>
        <v/>
      </c>
      <c r="J117" s="80"/>
      <c r="K117" s="80"/>
      <c r="L117" s="80"/>
      <c r="M117" s="81"/>
      <c r="N117" s="83"/>
      <c r="O117" s="83"/>
      <c r="P117" s="83"/>
      <c r="Q117" s="82"/>
      <c r="R117" s="80"/>
      <c r="S117" s="80"/>
    </row>
    <row r="118" spans="1:19" ht="50.1" hidden="1" customHeight="1" x14ac:dyDescent="0.2">
      <c r="A118"/>
      <c r="B118"/>
      <c r="C118"/>
      <c r="D118"/>
      <c r="E118"/>
      <c r="F118"/>
      <c r="G118"/>
      <c r="I118" t="str">
        <f t="shared" ca="1" si="2"/>
        <v/>
      </c>
      <c r="J118" s="672" t="str">
        <f>CONCATENATE("Declaro para os devidos fins que, conforme legislação tributária municipal, a base de cálculo deste tipo de obra corresponde à ",$R$10*100,"%, com a respectiva alíquota de ",$R$11*100,"%.")</f>
        <v>Declaro para os devidos fins que, conforme legislação tributária municipal, a base de cálculo deste tipo de obra corresponde à 100%, com a respectiva alíquota de 3%.</v>
      </c>
      <c r="K118" s="672"/>
      <c r="L118" s="672"/>
      <c r="M118" s="672"/>
      <c r="N118" s="672"/>
      <c r="O118" s="672"/>
      <c r="P118" s="672"/>
      <c r="Q118" s="672"/>
      <c r="R118" s="672"/>
      <c r="S118" s="672"/>
    </row>
    <row r="119" spans="1:19" hidden="1" x14ac:dyDescent="0.2">
      <c r="A119"/>
      <c r="B119"/>
      <c r="C119"/>
      <c r="D119"/>
      <c r="E119"/>
      <c r="F119"/>
      <c r="G119"/>
      <c r="I119" t="str">
        <f t="shared" ca="1" si="2"/>
        <v/>
      </c>
    </row>
    <row r="120" spans="1:19" ht="50.1" hidden="1" customHeight="1" x14ac:dyDescent="0.2">
      <c r="A120"/>
      <c r="B120"/>
      <c r="C120"/>
      <c r="D120"/>
      <c r="E120"/>
      <c r="F120"/>
      <c r="G120"/>
      <c r="I120" t="str">
        <f t="shared" ca="1" si="2"/>
        <v/>
      </c>
      <c r="J120" s="672" t="str">
        <f ca="1">CONCATENATE("Declaro para os devidos fins que o regime de Contribuição Previdenciária sobre a Receita Bruta adotado para elaboração do orçamento foi ",IF(DESONERACAO="Sim","COM","SEM")," Desoneração, e que esta é a alternativa mais adequada para a Administração Pública.")</f>
        <v>Declaro para os devidos fins que o regime de Contribuição Previdenciária sobre a Receita Bruta adotado para elaboração do orçamento foi SEM Desoneração, e que esta é a alternativa mais adequada para a Administração Pública.</v>
      </c>
      <c r="K120" s="672"/>
      <c r="L120" s="672"/>
      <c r="M120" s="672"/>
      <c r="N120" s="672"/>
      <c r="O120" s="672"/>
      <c r="P120" s="672"/>
      <c r="Q120" s="672"/>
      <c r="R120" s="672"/>
      <c r="S120" s="672"/>
    </row>
    <row r="121" spans="1:19" hidden="1" x14ac:dyDescent="0.2">
      <c r="A121"/>
      <c r="B121"/>
      <c r="C121"/>
      <c r="D121"/>
      <c r="E121"/>
      <c r="F121"/>
      <c r="G121"/>
      <c r="I121" t="str">
        <f t="shared" ca="1" si="2"/>
        <v/>
      </c>
    </row>
    <row r="122" spans="1:19" hidden="1" x14ac:dyDescent="0.2">
      <c r="A122"/>
      <c r="B122"/>
      <c r="C122"/>
      <c r="D122"/>
      <c r="E122"/>
      <c r="F122"/>
      <c r="G122"/>
      <c r="I122" t="str">
        <f t="shared" ca="1" si="2"/>
        <v/>
      </c>
      <c r="J122" s="61" t="s">
        <v>189</v>
      </c>
    </row>
    <row r="123" spans="1:19" ht="110.1" hidden="1" customHeight="1" x14ac:dyDescent="0.2">
      <c r="A123"/>
      <c r="B123"/>
      <c r="C123"/>
      <c r="D123"/>
      <c r="E123"/>
      <c r="F123"/>
      <c r="G123"/>
      <c r="I123" t="str">
        <f t="shared" ca="1" si="2"/>
        <v/>
      </c>
      <c r="J123" s="673"/>
      <c r="K123" s="673"/>
      <c r="L123" s="673"/>
      <c r="M123" s="673"/>
      <c r="N123" s="673"/>
      <c r="O123" s="673"/>
      <c r="P123" s="673"/>
      <c r="Q123" s="673"/>
      <c r="R123" s="673"/>
      <c r="S123" s="673"/>
    </row>
    <row r="124" spans="1:19" hidden="1" x14ac:dyDescent="0.2">
      <c r="A124"/>
      <c r="B124"/>
      <c r="C124"/>
      <c r="D124"/>
      <c r="E124"/>
      <c r="F124"/>
      <c r="G124"/>
      <c r="I124" t="str">
        <f t="shared" ca="1" si="2"/>
        <v/>
      </c>
    </row>
    <row r="125" spans="1:19" hidden="1" x14ac:dyDescent="0.2">
      <c r="A125"/>
      <c r="B125"/>
      <c r="C125"/>
      <c r="D125"/>
      <c r="E125"/>
      <c r="F125"/>
      <c r="G125"/>
      <c r="I125" t="str">
        <f t="shared" ca="1" si="2"/>
        <v/>
      </c>
      <c r="J125" s="674" t="str">
        <f>Import.Município</f>
        <v>CONCEIÇÃO DOS OUROS/MG</v>
      </c>
      <c r="K125" s="674"/>
      <c r="L125" s="674"/>
      <c r="M125" s="674"/>
      <c r="P125" s="675">
        <f>DADOS!$F$25</f>
        <v>45391</v>
      </c>
      <c r="Q125" s="675"/>
      <c r="R125" s="675"/>
      <c r="S125" s="675"/>
    </row>
    <row r="126" spans="1:19" hidden="1" x14ac:dyDescent="0.2">
      <c r="A126"/>
      <c r="B126"/>
      <c r="C126"/>
      <c r="D126"/>
      <c r="E126"/>
      <c r="F126"/>
      <c r="G126"/>
      <c r="I126" t="str">
        <f t="shared" ca="1" si="2"/>
        <v/>
      </c>
      <c r="J126" s="676" t="s">
        <v>190</v>
      </c>
      <c r="K126" s="676"/>
      <c r="L126" s="676"/>
      <c r="M126" s="676"/>
      <c r="O126" s="85"/>
      <c r="P126" s="86" t="s">
        <v>191</v>
      </c>
      <c r="Q126" s="87"/>
      <c r="R126" s="87"/>
      <c r="S126" s="87"/>
    </row>
    <row r="127" spans="1:19" ht="30" hidden="1" customHeight="1" x14ac:dyDescent="0.2">
      <c r="A127"/>
      <c r="B127"/>
      <c r="C127"/>
      <c r="D127"/>
      <c r="E127"/>
      <c r="F127"/>
      <c r="G127"/>
      <c r="I127" t="str">
        <f t="shared" ca="1" si="2"/>
        <v/>
      </c>
    </row>
    <row r="128" spans="1:19" ht="15" hidden="1" x14ac:dyDescent="0.2">
      <c r="A128"/>
      <c r="B128"/>
      <c r="C128"/>
      <c r="D128"/>
      <c r="E128"/>
      <c r="F128"/>
      <c r="G128"/>
      <c r="I128" t="str">
        <f t="shared" ca="1" si="2"/>
        <v/>
      </c>
      <c r="J128" s="677"/>
      <c r="K128" s="677"/>
      <c r="L128" s="677"/>
      <c r="M128" s="677"/>
      <c r="N128" s="88"/>
    </row>
    <row r="129" spans="1:14" hidden="1" x14ac:dyDescent="0.2">
      <c r="A129"/>
      <c r="B129"/>
      <c r="C129"/>
      <c r="D129"/>
      <c r="E129"/>
      <c r="F129"/>
      <c r="G129"/>
      <c r="I129" t="str">
        <f t="shared" ca="1" si="2"/>
        <v/>
      </c>
      <c r="J129" s="671" t="s">
        <v>192</v>
      </c>
      <c r="K129" s="671"/>
      <c r="L129" s="671"/>
      <c r="M129" s="671"/>
      <c r="N129" s="89"/>
    </row>
    <row r="130" spans="1:14" ht="14.25" hidden="1" x14ac:dyDescent="0.2">
      <c r="A130"/>
      <c r="B130"/>
      <c r="C130"/>
      <c r="D130"/>
      <c r="E130"/>
      <c r="F130"/>
      <c r="G130"/>
      <c r="I130" t="str">
        <f t="shared" ca="1" si="2"/>
        <v/>
      </c>
      <c r="J130" s="90" t="s">
        <v>109</v>
      </c>
      <c r="K130" s="91" t="str">
        <f t="array" ref="K130:K132">Import.RespOrçamento</f>
        <v>JOSÉ AIRTON JUNHO DOS REIS</v>
      </c>
      <c r="L130" s="92"/>
      <c r="M130" s="92"/>
      <c r="N130" s="93"/>
    </row>
    <row r="131" spans="1:14" ht="14.25" hidden="1" x14ac:dyDescent="0.2">
      <c r="A131"/>
      <c r="B131"/>
      <c r="C131"/>
      <c r="D131"/>
      <c r="E131"/>
      <c r="F131"/>
      <c r="G131"/>
      <c r="I131" t="str">
        <f t="shared" ca="1" si="2"/>
        <v/>
      </c>
      <c r="J131" s="90" t="s">
        <v>110</v>
      </c>
      <c r="K131" s="91" t="str">
        <v>56.250/D</v>
      </c>
      <c r="L131" s="92"/>
      <c r="M131" s="92"/>
      <c r="N131" s="93"/>
    </row>
    <row r="132" spans="1:14" ht="14.25" hidden="1" x14ac:dyDescent="0.2">
      <c r="A132"/>
      <c r="B132"/>
      <c r="C132"/>
      <c r="D132"/>
      <c r="E132"/>
      <c r="F132"/>
      <c r="G132"/>
      <c r="I132" t="str">
        <f t="shared" ca="1" si="2"/>
        <v/>
      </c>
      <c r="J132" s="90" t="s">
        <v>111</v>
      </c>
      <c r="K132" s="91" t="str">
        <v>MG20242788680</v>
      </c>
      <c r="L132" s="92"/>
      <c r="M132" s="92"/>
      <c r="N132" s="93"/>
    </row>
    <row r="133" spans="1:14" x14ac:dyDescent="0.2">
      <c r="A133"/>
      <c r="B133"/>
      <c r="C133"/>
      <c r="D133"/>
      <c r="E133"/>
      <c r="F133"/>
      <c r="G133"/>
    </row>
    <row r="134" spans="1:14" x14ac:dyDescent="0.2">
      <c r="A134"/>
      <c r="B134"/>
      <c r="C134"/>
      <c r="D134"/>
      <c r="E134"/>
      <c r="F134"/>
      <c r="G134"/>
    </row>
    <row r="135" spans="1:14" x14ac:dyDescent="0.2">
      <c r="A135"/>
      <c r="B135"/>
      <c r="C135"/>
      <c r="D135"/>
      <c r="E135"/>
      <c r="F135"/>
      <c r="G135"/>
    </row>
    <row r="136" spans="1:14" x14ac:dyDescent="0.2">
      <c r="A136"/>
      <c r="B136"/>
      <c r="C136"/>
      <c r="D136"/>
      <c r="E136"/>
      <c r="F136"/>
      <c r="G136"/>
    </row>
    <row r="137" spans="1:14" x14ac:dyDescent="0.2">
      <c r="A137"/>
      <c r="B137"/>
      <c r="C137"/>
      <c r="D137"/>
      <c r="E137"/>
      <c r="F137"/>
      <c r="G137"/>
    </row>
    <row r="138" spans="1:14" x14ac:dyDescent="0.2">
      <c r="A138" s="61" t="s">
        <v>410</v>
      </c>
    </row>
    <row r="139" spans="1:14" x14ac:dyDescent="0.2">
      <c r="A139" s="61" t="s">
        <v>142</v>
      </c>
    </row>
    <row r="140" spans="1:14" x14ac:dyDescent="0.2">
      <c r="A140" s="61" t="s">
        <v>154</v>
      </c>
    </row>
    <row r="141" spans="1:14" x14ac:dyDescent="0.2">
      <c r="A141" s="61" t="s">
        <v>157</v>
      </c>
    </row>
    <row r="142" spans="1:14" x14ac:dyDescent="0.2">
      <c r="A142" s="61" t="s">
        <v>167</v>
      </c>
    </row>
    <row r="143" spans="1:14" x14ac:dyDescent="0.2">
      <c r="A143" s="61" t="s">
        <v>169</v>
      </c>
    </row>
    <row r="144" spans="1:14" x14ac:dyDescent="0.2">
      <c r="A144" s="61" t="s">
        <v>179</v>
      </c>
    </row>
    <row r="145" spans="1:1" x14ac:dyDescent="0.2">
      <c r="A145" s="61" t="s">
        <v>184</v>
      </c>
    </row>
    <row r="146" spans="1:1" x14ac:dyDescent="0.2">
      <c r="A146" s="61" t="s">
        <v>185</v>
      </c>
    </row>
  </sheetData>
  <sheetProtection password="BD1F" sheet="1" objects="1" scenarios="1" autoFilter="0"/>
  <autoFilter ref="I11:I132">
    <filterColumn colId="0">
      <customFilters and="1">
        <customFilter operator="notEqual" val=" "/>
      </customFilters>
    </filterColumn>
  </autoFilter>
  <mergeCells count="144">
    <mergeCell ref="J5:K5"/>
    <mergeCell ref="L5:M5"/>
    <mergeCell ref="N5:S5"/>
    <mergeCell ref="R1:S1"/>
    <mergeCell ref="R2:S2"/>
    <mergeCell ref="J4:K4"/>
    <mergeCell ref="L4:M4"/>
    <mergeCell ref="N4:S4"/>
    <mergeCell ref="J11:Q11"/>
    <mergeCell ref="R11:S11"/>
    <mergeCell ref="J7:S7"/>
    <mergeCell ref="J8:S8"/>
    <mergeCell ref="J10:Q10"/>
    <mergeCell ref="R10:S10"/>
    <mergeCell ref="X19:X20"/>
    <mergeCell ref="Y19:Y20"/>
    <mergeCell ref="J17:S17"/>
    <mergeCell ref="Z19:Z20"/>
    <mergeCell ref="U19:W20"/>
    <mergeCell ref="J19:Q20"/>
    <mergeCell ref="R19:R20"/>
    <mergeCell ref="S19:S20"/>
    <mergeCell ref="J14:S14"/>
    <mergeCell ref="J16:S16"/>
    <mergeCell ref="J23:Q23"/>
    <mergeCell ref="U23:W23"/>
    <mergeCell ref="J21:Q21"/>
    <mergeCell ref="U21:W21"/>
    <mergeCell ref="J22:Q22"/>
    <mergeCell ref="U22:W22"/>
    <mergeCell ref="J25:Q25"/>
    <mergeCell ref="U25:W25"/>
    <mergeCell ref="J26:Q26"/>
    <mergeCell ref="U26:W26"/>
    <mergeCell ref="J27:Q27"/>
    <mergeCell ref="U27:W27"/>
    <mergeCell ref="J28:Q28"/>
    <mergeCell ref="U28:W28"/>
    <mergeCell ref="J24:Q24"/>
    <mergeCell ref="U24:W24"/>
    <mergeCell ref="N36:P36"/>
    <mergeCell ref="J38:S38"/>
    <mergeCell ref="J30:Q30"/>
    <mergeCell ref="K32:S32"/>
    <mergeCell ref="J29:Q29"/>
    <mergeCell ref="U29:W29"/>
    <mergeCell ref="J34:S34"/>
    <mergeCell ref="M35:M36"/>
    <mergeCell ref="J49:M49"/>
    <mergeCell ref="J54:S54"/>
    <mergeCell ref="J45:M45"/>
    <mergeCell ref="P45:S45"/>
    <mergeCell ref="J46:M46"/>
    <mergeCell ref="J48:M48"/>
    <mergeCell ref="N35:P35"/>
    <mergeCell ref="Q35:Q36"/>
    <mergeCell ref="J40:S40"/>
    <mergeCell ref="J43:S43"/>
    <mergeCell ref="Y59:Y60"/>
    <mergeCell ref="Z59:Z60"/>
    <mergeCell ref="J59:Q60"/>
    <mergeCell ref="R59:R60"/>
    <mergeCell ref="S59:S60"/>
    <mergeCell ref="U59:W60"/>
    <mergeCell ref="X59:X60"/>
    <mergeCell ref="J61:Q61"/>
    <mergeCell ref="U61:W61"/>
    <mergeCell ref="J56:S56"/>
    <mergeCell ref="J57:S57"/>
    <mergeCell ref="J64:Q64"/>
    <mergeCell ref="U64:W64"/>
    <mergeCell ref="J62:Q62"/>
    <mergeCell ref="U62:W62"/>
    <mergeCell ref="J63:Q63"/>
    <mergeCell ref="U63:W63"/>
    <mergeCell ref="J65:Q65"/>
    <mergeCell ref="U65:W65"/>
    <mergeCell ref="J66:Q66"/>
    <mergeCell ref="U66:W66"/>
    <mergeCell ref="U67:W67"/>
    <mergeCell ref="J68:Q68"/>
    <mergeCell ref="U68:W68"/>
    <mergeCell ref="J94:S94"/>
    <mergeCell ref="J85:M85"/>
    <mergeCell ref="P85:S85"/>
    <mergeCell ref="J67:Q67"/>
    <mergeCell ref="J78:S78"/>
    <mergeCell ref="J70:Q70"/>
    <mergeCell ref="K72:S72"/>
    <mergeCell ref="J89:M89"/>
    <mergeCell ref="U69:W69"/>
    <mergeCell ref="J86:M86"/>
    <mergeCell ref="J88:M88"/>
    <mergeCell ref="J74:S74"/>
    <mergeCell ref="M75:M76"/>
    <mergeCell ref="J80:S80"/>
    <mergeCell ref="J83:S83"/>
    <mergeCell ref="N76:P76"/>
    <mergeCell ref="N75:P75"/>
    <mergeCell ref="Q75:Q76"/>
    <mergeCell ref="Y99:Y100"/>
    <mergeCell ref="Z99:Z100"/>
    <mergeCell ref="J99:Q100"/>
    <mergeCell ref="R99:R100"/>
    <mergeCell ref="S99:S100"/>
    <mergeCell ref="X99:X100"/>
    <mergeCell ref="J101:Q101"/>
    <mergeCell ref="U101:W101"/>
    <mergeCell ref="J96:S96"/>
    <mergeCell ref="J97:S97"/>
    <mergeCell ref="U99:W100"/>
    <mergeCell ref="J102:Q102"/>
    <mergeCell ref="U102:W102"/>
    <mergeCell ref="U105:W105"/>
    <mergeCell ref="J106:Q106"/>
    <mergeCell ref="U106:W106"/>
    <mergeCell ref="J104:Q104"/>
    <mergeCell ref="U104:W104"/>
    <mergeCell ref="U103:W103"/>
    <mergeCell ref="U107:W107"/>
    <mergeCell ref="N116:P116"/>
    <mergeCell ref="J108:Q108"/>
    <mergeCell ref="U108:W108"/>
    <mergeCell ref="J109:Q109"/>
    <mergeCell ref="U109:W109"/>
    <mergeCell ref="J110:Q110"/>
    <mergeCell ref="K112:S112"/>
    <mergeCell ref="J118:S118"/>
    <mergeCell ref="I6:I10"/>
    <mergeCell ref="J114:S114"/>
    <mergeCell ref="J107:Q107"/>
    <mergeCell ref="M115:M116"/>
    <mergeCell ref="J105:Q105"/>
    <mergeCell ref="J103:Q103"/>
    <mergeCell ref="J69:Q69"/>
    <mergeCell ref="N115:P115"/>
    <mergeCell ref="Q115:Q116"/>
    <mergeCell ref="J129:M129"/>
    <mergeCell ref="J120:S120"/>
    <mergeCell ref="J123:S123"/>
    <mergeCell ref="J125:M125"/>
    <mergeCell ref="P125:S125"/>
    <mergeCell ref="J126:M126"/>
    <mergeCell ref="J128:M128"/>
  </mergeCells>
  <phoneticPr fontId="40" type="noConversion"/>
  <conditionalFormatting sqref="J30:S30 J70:S70 J110:S110">
    <cfRule type="expression" dxfId="331" priority="2" stopIfTrue="1">
      <formula>DESONERACAO="não"</formula>
    </cfRule>
  </conditionalFormatting>
  <conditionalFormatting sqref="U29:W29 U69:W69 U109:W109">
    <cfRule type="expression" dxfId="330" priority="3" stopIfTrue="1">
      <formula>AND(U29&lt;&gt;"OK",U29&lt;&gt;"-",U29&lt;&gt;"")</formula>
    </cfRule>
    <cfRule type="cellIs" dxfId="329" priority="4" stopIfTrue="1" operator="equal">
      <formula>"OK"</formula>
    </cfRule>
  </conditionalFormatting>
  <conditionalFormatting sqref="S29 S69 S109">
    <cfRule type="expression" dxfId="328" priority="5" stopIfTrue="1">
      <formula>DESONERACAO="não"</formula>
    </cfRule>
  </conditionalFormatting>
  <dataValidations count="6">
    <dataValidation type="decimal" allowBlank="1" showErrorMessage="1" errorTitle="Erro de valores" error="Digite um valor entre 0% e 100%" sqref="S21:S26 S61:S66 S101:S106">
      <formula1>0</formula1>
      <formula2>1</formula2>
    </dataValidation>
    <dataValidation type="decimal" allowBlank="1" showErrorMessage="1" errorTitle="Erro de valores" error="Digite um valor maior do que 0." sqref="S27 S67 S107">
      <formula1>0</formula1>
      <formula2>1</formula2>
    </dataValidation>
    <dataValidation operator="greaterThanOrEqual" allowBlank="1" showErrorMessage="1" errorTitle="Erro de valores" error="Digite um valor igual a 0% ou 2%." sqref="S28 S68 S108">
      <formula1>0</formula1>
      <formula2>0</formula2>
    </dataValidation>
    <dataValidation type="decimal" operator="greaterThanOrEqual" allowBlank="1" showInputMessage="1" showErrorMessage="1" errorTitle="Valor não permitido" error="Digite um percentual entre 0% e 100%." promptTitle="Valores comuns:" prompt="Normalmente entre 2 e 5%." sqref="R11:S11">
      <formula1>0</formula1>
      <formula2>0</formula2>
    </dataValidation>
    <dataValidation type="decimal" allowBlank="1" showInputMessage="1" showErrorMessage="1" errorTitle="Valor não permitido" error="Digite um percentual entre 0% e 100%." promptTitle="Valores admissíveis:" prompt="Insira valores entre 0 e 100%." sqref="R10:S10">
      <formula1>0</formula1>
      <formula2>1</formula2>
    </dataValidation>
    <dataValidation type="list" allowBlank="1" showErrorMessage="1" sqref="J17:S17 J57:S57 J97:S97">
      <formula1>BDI.TipoObra</formula1>
      <formula2>0</formula2>
    </dataValidation>
  </dataValidations>
  <pageMargins left="0.78740157480314998" right="0.78740157480314998" top="0.78740157480314998" bottom="0.78740157480314998" header="5.7086614173228396" footer="0.59055118110236204"/>
  <pageSetup paperSize="9" scale="79" firstPageNumber="0" fitToHeight="0" orientation="portrait" horizontalDpi="300" verticalDpi="300" r:id="rId1"/>
  <headerFooter alignWithMargins="0">
    <oddHeader>&amp;L_</oddHeader>
    <oddFooter>&amp;LPMv3.0.4&amp;R&amp;P /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5"/>
  <dimension ref="A1:AN50"/>
  <sheetViews>
    <sheetView showGridLines="0" zoomScale="80" zoomScaleNormal="80" zoomScaleSheetLayoutView="90" workbookViewId="0">
      <pane xSplit="19" ySplit="15" topLeftCell="T16" activePane="bottomRight" state="frozen"/>
      <selection activeCell="L1" sqref="L1"/>
      <selection pane="topRight" activeCell="T1" sqref="T1"/>
      <selection pane="bottomLeft" activeCell="L16" sqref="L16"/>
      <selection pane="bottomRight" activeCell="X28" sqref="X28"/>
    </sheetView>
  </sheetViews>
  <sheetFormatPr defaultRowHeight="12.75" x14ac:dyDescent="0.2"/>
  <cols>
    <col min="1" max="1" width="5.5703125" hidden="1" customWidth="1"/>
    <col min="2" max="2" width="10.42578125" hidden="1" customWidth="1"/>
    <col min="3" max="3" width="5.5703125" hidden="1" customWidth="1"/>
    <col min="4" max="4" width="12.85546875" hidden="1" customWidth="1"/>
    <col min="5" max="5" width="8.7109375" hidden="1" customWidth="1"/>
    <col min="6" max="6" width="12.42578125" hidden="1" customWidth="1"/>
    <col min="7" max="7" width="14.5703125" hidden="1" customWidth="1"/>
    <col min="8" max="8" width="11.28515625" hidden="1" customWidth="1"/>
    <col min="9" max="9" width="13.42578125" hidden="1" customWidth="1"/>
    <col min="10" max="10" width="7.28515625" hidden="1" customWidth="1"/>
    <col min="11" max="11" width="7.5703125" hidden="1" customWidth="1"/>
    <col min="12" max="12" width="3.7109375" customWidth="1"/>
    <col min="13" max="14" width="8.7109375" customWidth="1"/>
    <col min="15" max="15" width="12.7109375" customWidth="1"/>
    <col min="16" max="17" width="15.7109375" customWidth="1"/>
    <col min="18" max="18" width="65.7109375" customWidth="1"/>
    <col min="19" max="19" width="10.7109375" customWidth="1"/>
    <col min="20" max="21" width="14.7109375" customWidth="1"/>
    <col min="22" max="22" width="10.7109375" customWidth="1"/>
    <col min="23" max="23" width="14.7109375" customWidth="1"/>
    <col min="24" max="24" width="15.7109375" customWidth="1"/>
    <col min="25" max="25" width="3.7109375" customWidth="1"/>
    <col min="26" max="26" width="3.7109375" hidden="1" customWidth="1"/>
    <col min="27" max="28" width="14.7109375" hidden="1" customWidth="1"/>
    <col min="29" max="29" width="15.7109375" customWidth="1"/>
    <col min="30" max="31" width="9.140625" hidden="1" customWidth="1"/>
    <col min="32" max="32" width="15.5703125" hidden="1" customWidth="1"/>
    <col min="33" max="33" width="15.7109375" customWidth="1"/>
    <col min="35" max="35" width="1.7109375" customWidth="1"/>
    <col min="36" max="36" width="14.7109375" customWidth="1"/>
    <col min="37" max="37" width="1.7109375" customWidth="1"/>
    <col min="38" max="38" width="14.7109375" customWidth="1"/>
    <col min="39" max="40" width="15.7109375" customWidth="1"/>
  </cols>
  <sheetData>
    <row r="1" spans="1:40" ht="18" x14ac:dyDescent="0.2">
      <c r="A1" s="95"/>
      <c r="B1" s="95"/>
      <c r="C1" s="95"/>
      <c r="D1" s="95"/>
      <c r="F1" s="96"/>
      <c r="G1" s="3"/>
      <c r="H1" s="95"/>
      <c r="I1" s="95"/>
      <c r="J1" s="95"/>
      <c r="K1" s="95"/>
      <c r="L1" s="95"/>
      <c r="M1" s="97"/>
      <c r="N1" s="97"/>
      <c r="O1" s="95"/>
      <c r="P1" s="95"/>
      <c r="Q1" s="95"/>
      <c r="R1" s="98" t="s">
        <v>195</v>
      </c>
      <c r="S1" s="95"/>
      <c r="T1" s="98"/>
      <c r="U1" s="95"/>
      <c r="V1" s="95"/>
      <c r="W1" s="95"/>
      <c r="X1" s="64" t="s">
        <v>141</v>
      </c>
      <c r="Y1" s="99"/>
      <c r="Z1" s="99"/>
      <c r="AA1" s="99"/>
      <c r="AB1" s="99"/>
      <c r="AC1" s="100"/>
      <c r="AD1" s="100"/>
      <c r="AG1" s="100"/>
      <c r="AH1" s="100"/>
      <c r="AN1" s="100"/>
    </row>
    <row r="2" spans="1:40" ht="15" x14ac:dyDescent="0.2">
      <c r="A2" s="100"/>
      <c r="B2" s="100"/>
      <c r="C2" s="100"/>
      <c r="D2" s="101" t="s">
        <v>196</v>
      </c>
      <c r="E2" s="101" t="s">
        <v>197</v>
      </c>
      <c r="F2" s="101" t="s">
        <v>198</v>
      </c>
      <c r="G2" s="101" t="s">
        <v>199</v>
      </c>
      <c r="H2" s="101" t="s">
        <v>200</v>
      </c>
      <c r="I2" s="101" t="s">
        <v>201</v>
      </c>
      <c r="J2" s="100"/>
      <c r="K2" s="100"/>
      <c r="L2" s="100"/>
      <c r="M2" s="100"/>
      <c r="N2" s="100"/>
      <c r="O2" s="100"/>
      <c r="P2" s="100"/>
      <c r="Q2" s="100"/>
      <c r="R2" s="102" t="str">
        <f>IF(TIPOORCAMENTO="licitado","Orçamento Licitado","Orçamento Base para Licitação")&amp;" - "&amp;import.recurso</f>
        <v>Orçamento Base para Licitação - OGU</v>
      </c>
      <c r="S2" s="100"/>
      <c r="T2" s="100"/>
      <c r="U2" s="100"/>
      <c r="V2" s="100"/>
      <c r="W2" s="100"/>
      <c r="X2" s="14" t="s">
        <v>144</v>
      </c>
      <c r="Y2" s="103"/>
      <c r="Z2" s="103"/>
      <c r="AA2" s="103"/>
      <c r="AB2" s="103"/>
      <c r="AC2" s="100"/>
      <c r="AD2" s="100"/>
      <c r="AH2" s="100"/>
    </row>
    <row r="3" spans="1:40" x14ac:dyDescent="0.2">
      <c r="A3" s="100"/>
      <c r="B3" s="100"/>
      <c r="C3" s="100"/>
      <c r="D3" s="100"/>
      <c r="F3" s="96"/>
      <c r="H3" s="104"/>
      <c r="I3" s="100"/>
      <c r="J3" s="100"/>
      <c r="K3" s="100"/>
      <c r="L3" s="100"/>
      <c r="M3" s="100"/>
      <c r="N3" s="100"/>
      <c r="O3" s="100"/>
      <c r="P3" s="100"/>
      <c r="Q3" s="100"/>
      <c r="R3" s="105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G3" s="100"/>
      <c r="AH3" s="100"/>
      <c r="AN3" s="100"/>
    </row>
    <row r="4" spans="1:40" x14ac:dyDescent="0.2">
      <c r="A4" s="100" t="s">
        <v>203</v>
      </c>
      <c r="B4" s="100"/>
      <c r="C4" s="100"/>
      <c r="D4" s="100"/>
      <c r="F4" s="96" t="s">
        <v>158</v>
      </c>
      <c r="G4" s="96" t="s">
        <v>193</v>
      </c>
      <c r="H4" s="96" t="s">
        <v>194</v>
      </c>
      <c r="I4" s="106">
        <v>0</v>
      </c>
      <c r="J4" s="100"/>
      <c r="K4" s="100"/>
      <c r="L4" s="100"/>
      <c r="M4" s="100"/>
      <c r="N4" s="100"/>
      <c r="O4" s="689" t="s">
        <v>147</v>
      </c>
      <c r="P4" s="689"/>
      <c r="Q4" s="107" t="s">
        <v>148</v>
      </c>
      <c r="R4" s="107" t="s">
        <v>149</v>
      </c>
      <c r="S4" s="689" t="s">
        <v>204</v>
      </c>
      <c r="T4" s="689"/>
      <c r="U4" s="689"/>
      <c r="V4" s="689"/>
      <c r="W4" s="689"/>
      <c r="X4" s="689"/>
      <c r="Y4" s="90"/>
      <c r="Z4" s="90"/>
      <c r="AA4" s="90"/>
      <c r="AB4" s="90"/>
      <c r="AC4" s="100"/>
      <c r="AG4" s="100"/>
      <c r="AH4" s="100"/>
      <c r="AN4" s="100"/>
    </row>
    <row r="5" spans="1:40" ht="12.75" customHeight="1" x14ac:dyDescent="0.2">
      <c r="A5" s="110">
        <f ca="1">MAX($C$15:$C$33)</f>
        <v>2</v>
      </c>
      <c r="B5" s="110"/>
      <c r="C5" s="110"/>
      <c r="D5" s="100"/>
      <c r="F5" s="111">
        <f ca="1">IF(BDI.Opcao="DESONERADO",BDI!$S$30,BDI!$S$29)</f>
        <v>0.20730000000000001</v>
      </c>
      <c r="G5" s="112">
        <f ca="1">IF(BDI.Opcao="DESONERADO",BDI!$S$70,BDI!$S$69)</f>
        <v>0</v>
      </c>
      <c r="H5" s="112">
        <f ca="1">IF(BDI.Opcao="DESONERADO",BDI!$S$110,BDI!$S$109)</f>
        <v>0</v>
      </c>
      <c r="I5" s="100"/>
      <c r="J5" s="100"/>
      <c r="K5" s="100"/>
      <c r="L5" s="100"/>
      <c r="M5" s="100"/>
      <c r="N5" s="100"/>
      <c r="O5" s="698" t="str">
        <f>Import.CR</f>
        <v>1090.502-01/2023</v>
      </c>
      <c r="P5" s="698"/>
      <c r="Q5" s="113" t="str">
        <f>Import.SICONV</f>
        <v>950338/2023</v>
      </c>
      <c r="R5" s="114" t="str">
        <f>Import.Proponente</f>
        <v>PREFEITURA MUNICIPAL DE CONCEIÇÃO DOS OUROS</v>
      </c>
      <c r="S5" s="698" t="str">
        <f>Import.Apelido</f>
        <v>Adequação de Estradas Vicinais</v>
      </c>
      <c r="T5" s="698"/>
      <c r="U5" s="698"/>
      <c r="V5" s="698"/>
      <c r="W5" s="698"/>
      <c r="X5" s="698"/>
      <c r="Y5" s="115"/>
      <c r="Z5" s="115"/>
      <c r="AA5" s="115"/>
      <c r="AB5" s="115"/>
      <c r="AC5" s="100"/>
      <c r="AE5" s="701" t="s">
        <v>202</v>
      </c>
      <c r="AF5" s="701"/>
    </row>
    <row r="6" spans="1:40" ht="5.0999999999999996" customHeight="1" x14ac:dyDescent="0.2">
      <c r="A6" s="110"/>
      <c r="B6" s="110"/>
      <c r="C6" s="110"/>
      <c r="D6" s="100"/>
      <c r="F6" s="96"/>
      <c r="H6" s="104"/>
      <c r="I6" s="100"/>
      <c r="J6" s="100"/>
      <c r="K6" s="100"/>
      <c r="L6" s="100"/>
      <c r="M6" s="100"/>
      <c r="N6" s="100"/>
      <c r="O6" s="117"/>
      <c r="P6" s="117"/>
      <c r="Q6" s="118"/>
      <c r="R6" s="118"/>
      <c r="S6" s="117"/>
      <c r="T6" s="117"/>
      <c r="U6" s="117"/>
      <c r="V6" s="117"/>
      <c r="W6" s="117"/>
      <c r="X6" s="117"/>
      <c r="Y6" s="115"/>
      <c r="Z6" s="115"/>
      <c r="AA6" s="115"/>
      <c r="AB6" s="115"/>
      <c r="AC6" s="119"/>
      <c r="AE6" s="108"/>
      <c r="AF6" s="109"/>
      <c r="AG6" s="100"/>
      <c r="AH6" s="100"/>
      <c r="AN6" s="100"/>
    </row>
    <row r="7" spans="1:40" ht="12.75" customHeight="1" x14ac:dyDescent="0.2">
      <c r="A7" s="100"/>
      <c r="B7" s="100"/>
      <c r="C7" s="100"/>
      <c r="D7" s="100"/>
      <c r="F7" s="96"/>
      <c r="H7" s="104"/>
      <c r="I7" s="100"/>
      <c r="J7" s="100"/>
      <c r="K7" s="100"/>
      <c r="L7" s="100"/>
      <c r="M7" s="100"/>
      <c r="N7" s="100"/>
      <c r="O7" s="689" t="s">
        <v>206</v>
      </c>
      <c r="P7" s="689"/>
      <c r="Q7" s="107" t="s">
        <v>207</v>
      </c>
      <c r="R7" s="107" t="str">
        <f>IF(TIPOORCAMENTO="Licitado","NOME DA EMPRESA","DESCRIÇÃO DO LOTE")</f>
        <v>DESCRIÇÃO DO LOTE</v>
      </c>
      <c r="S7" s="702" t="str">
        <f>IF(TIPOORCAMENTO="Licitado","REGIME DE EXECUÇÃO","MUNICÍPIO / UF")</f>
        <v>MUNICÍPIO / UF</v>
      </c>
      <c r="T7" s="702"/>
      <c r="U7" s="702"/>
      <c r="V7" s="121" t="str">
        <f>IF(TIPOORCAMENTO="Licitado","","BDI 1")</f>
        <v>BDI 1</v>
      </c>
      <c r="W7" s="121" t="str">
        <f>IF(TIPOORCAMENTO="Licitado","","BDI 2")</f>
        <v>BDI 2</v>
      </c>
      <c r="X7" s="122" t="str">
        <f>IF(TIPOORCAMENTO="Licitado","Nº CTEF","BDI 3")</f>
        <v>BDI 3</v>
      </c>
      <c r="Y7" s="121"/>
      <c r="Z7" s="121"/>
      <c r="AA7" s="123"/>
      <c r="AB7" s="123"/>
      <c r="AC7" s="96"/>
      <c r="AE7" s="108" t="s">
        <v>205</v>
      </c>
      <c r="AF7" s="116" t="b">
        <v>1</v>
      </c>
      <c r="AJ7" s="705" t="s">
        <v>209</v>
      </c>
      <c r="AL7" s="703" t="s">
        <v>210</v>
      </c>
    </row>
    <row r="8" spans="1:40" ht="12.75" customHeight="1" x14ac:dyDescent="0.2">
      <c r="A8" s="110"/>
      <c r="B8" s="110"/>
      <c r="C8" s="110"/>
      <c r="D8" s="100"/>
      <c r="F8" s="706" t="str">
        <f ca="1">IF(LEN(INFO("release"))&gt;5,"'Referência "&amp;Excel_BuiltIn_Database&amp;".xls'#Banco.$a5:$a$65536","'[Referência "&amp;Excel_BuiltIn_Database&amp;".xls]Banco'!$a5:$a$65536")</f>
        <v>'[Referência 11-2023.xls]Banco'!$a5:$a$65536</v>
      </c>
      <c r="G8" s="706"/>
      <c r="H8" s="706"/>
      <c r="I8" s="706"/>
      <c r="J8" s="706"/>
      <c r="K8" s="706"/>
      <c r="L8" s="678" t="s">
        <v>211</v>
      </c>
      <c r="M8" s="100"/>
      <c r="N8" s="100"/>
      <c r="O8" s="698" t="str">
        <f ca="1">IF(ISERROR(INDIRECT($F$9)),"(N/D: 'Referência "&amp;Excel_BuiltIn_Database&amp;".xls)",INDIRECT($F$9))</f>
        <v>(N/D: 'Referência 11-2023.xls)</v>
      </c>
      <c r="P8" s="698"/>
      <c r="Q8" s="124" t="str">
        <f ca="1">TEXT(Import.DataBase,"mm-aa")&amp;IF(DESONERACAO="Sim"," (DES.)"," (N DES.)")</f>
        <v>11-23 (N DES.)</v>
      </c>
      <c r="R8" s="114" t="str">
        <f>IF(TIPOORCAMENTO="Licitado",Import.empresa,Import.DescLote)</f>
        <v>Adequação de Estradas Vicinais</v>
      </c>
      <c r="S8" s="707" t="str">
        <f ca="1">IF(TIPOORCAMENTO="Licitado",Import.RegimeExecução,Import.Município)</f>
        <v>CONCEIÇÃO DOS OUROS/MG</v>
      </c>
      <c r="T8" s="707"/>
      <c r="U8" s="707"/>
      <c r="V8" s="125" t="str">
        <f ca="1">IF(TIPOORCAMENTO="Licitado","",TEXT(F5,"0,00%"))</f>
        <v>20,73%</v>
      </c>
      <c r="W8" s="125" t="str">
        <f ca="1">IF(TIPOORCAMENTO="Licitado","",TEXT(G5,"0,00%"))</f>
        <v>0,00%</v>
      </c>
      <c r="X8" s="126" t="str">
        <f ca="1">IF(TIPOORCAMENTO="Licitado",Import.CTEF,TEXT(H5,"0,00%"))</f>
        <v>0,00%</v>
      </c>
      <c r="Y8" s="678" t="s">
        <v>212</v>
      </c>
      <c r="Z8" s="678" t="s">
        <v>213</v>
      </c>
      <c r="AA8" s="127"/>
      <c r="AB8" s="127"/>
      <c r="AE8" s="108" t="s">
        <v>208</v>
      </c>
      <c r="AF8" s="116" t="b">
        <v>0</v>
      </c>
      <c r="AG8" s="100"/>
      <c r="AH8" s="100"/>
      <c r="AJ8" s="705"/>
      <c r="AL8" s="703"/>
      <c r="AN8" s="100"/>
    </row>
    <row r="9" spans="1:40" ht="12.75" customHeight="1" x14ac:dyDescent="0.2">
      <c r="A9" s="100"/>
      <c r="B9" s="100"/>
      <c r="C9" s="100"/>
      <c r="D9" s="100"/>
      <c r="F9" s="706" t="str">
        <f ca="1">IF(LEN(INFO("release"))&gt;5,"'Referência "&amp;Excel_BuiltIn_Database&amp;".xls'#Banco.$d$3","'[Referência "&amp;Excel_BuiltIn_Database&amp;".xls]Banco'!$d$3")</f>
        <v>'[Referência 11-2023.xls]Banco'!$d$3</v>
      </c>
      <c r="G9" s="706"/>
      <c r="H9" s="706"/>
      <c r="I9" s="706"/>
      <c r="J9" s="706"/>
      <c r="K9" s="706"/>
      <c r="L9" s="678"/>
      <c r="M9" s="100"/>
      <c r="N9" s="100"/>
      <c r="O9" s="16"/>
      <c r="P9" s="100"/>
      <c r="Q9" s="100"/>
      <c r="R9" s="100"/>
      <c r="S9" s="100"/>
      <c r="T9" s="100"/>
      <c r="U9" s="100"/>
      <c r="V9" s="100"/>
      <c r="W9" s="100"/>
      <c r="X9" s="100"/>
      <c r="Y9" s="678"/>
      <c r="Z9" s="678"/>
      <c r="AA9" s="100"/>
      <c r="AB9" s="100"/>
      <c r="AC9" s="100"/>
      <c r="AD9" s="100"/>
      <c r="AE9" s="108" t="s">
        <v>214</v>
      </c>
      <c r="AF9" s="116" t="b">
        <v>1</v>
      </c>
      <c r="AG9" s="100"/>
      <c r="AJ9" s="705"/>
      <c r="AL9" s="703"/>
      <c r="AN9" s="100"/>
    </row>
    <row r="10" spans="1:40" x14ac:dyDescent="0.2">
      <c r="A10" s="100"/>
      <c r="B10" s="100"/>
      <c r="C10" s="100"/>
      <c r="D10" s="100"/>
      <c r="E10" s="101"/>
      <c r="F10" s="101"/>
      <c r="G10" s="104"/>
      <c r="H10" s="104"/>
      <c r="I10" s="100"/>
      <c r="J10" s="100"/>
      <c r="K10" s="100"/>
      <c r="L10" s="678"/>
      <c r="M10" s="100"/>
      <c r="N10" s="100"/>
      <c r="O10" s="16"/>
      <c r="P10" s="100"/>
      <c r="Q10" s="100"/>
      <c r="R10" s="100"/>
      <c r="S10" s="100"/>
      <c r="T10" s="100"/>
      <c r="U10" s="100"/>
      <c r="V10" s="100"/>
      <c r="W10" s="100"/>
      <c r="X10" s="100"/>
      <c r="Y10" s="678"/>
      <c r="Z10" s="678"/>
      <c r="AC10" s="128" t="s">
        <v>216</v>
      </c>
      <c r="AD10" s="100"/>
      <c r="AE10" s="108" t="s">
        <v>215</v>
      </c>
      <c r="AF10" s="116" t="b">
        <v>0</v>
      </c>
      <c r="AG10" s="100"/>
      <c r="AH10" s="100"/>
      <c r="AJ10" s="705"/>
      <c r="AL10" s="703"/>
      <c r="AN10" s="100"/>
    </row>
    <row r="11" spans="1:40" x14ac:dyDescent="0.2">
      <c r="A11" s="100"/>
      <c r="B11" s="100"/>
      <c r="C11" s="100"/>
      <c r="D11" s="100"/>
      <c r="E11" s="101"/>
      <c r="F11" s="101"/>
      <c r="G11" s="104"/>
      <c r="H11" s="129"/>
      <c r="I11" s="100"/>
      <c r="J11" s="100"/>
      <c r="K11" s="100"/>
      <c r="L11" s="678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678"/>
      <c r="Z11" s="678"/>
      <c r="AC11" s="130" t="str">
        <f ca="1">IF(COUNTIF($AC$15:OFFSET($AC$33,-1,0),"DESCRIÇÃO")+COUNTIF($AC$15:OFFSET($AC$33,-1,0),"UNIDADE")+COUNTIF($AC$15:OFFSET($AC$33,-1,0),"SEM VALOR")&gt;0,"NÃO OK","OK")</f>
        <v>OK</v>
      </c>
      <c r="AD11" s="100"/>
      <c r="AE11" s="108" t="s">
        <v>217</v>
      </c>
      <c r="AF11" s="116" t="b">
        <v>0</v>
      </c>
      <c r="AG11" s="100"/>
      <c r="AH11" s="100"/>
      <c r="AJ11" s="705"/>
      <c r="AL11" s="703"/>
      <c r="AN11" s="100"/>
    </row>
    <row r="12" spans="1:40" x14ac:dyDescent="0.2">
      <c r="A12" s="100"/>
      <c r="B12" s="100"/>
      <c r="C12" s="100"/>
      <c r="D12" s="100"/>
      <c r="E12" s="101"/>
      <c r="F12" s="101"/>
      <c r="G12" s="104"/>
      <c r="H12" s="104"/>
      <c r="I12" s="100"/>
      <c r="J12" s="100"/>
      <c r="K12" s="100"/>
      <c r="L12" s="678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678"/>
      <c r="Z12" s="678"/>
      <c r="AA12" s="704" t="s">
        <v>218</v>
      </c>
      <c r="AB12" s="704"/>
      <c r="AC12" s="100"/>
      <c r="AD12" s="100"/>
      <c r="AE12" s="100"/>
      <c r="AF12" s="100"/>
      <c r="AG12" s="100"/>
      <c r="AH12" s="100"/>
      <c r="AJ12" s="131" t="s">
        <v>219</v>
      </c>
      <c r="AL12" s="634" t="s">
        <v>219</v>
      </c>
      <c r="AN12" s="100"/>
    </row>
    <row r="13" spans="1:40" ht="35.1" customHeight="1" x14ac:dyDescent="0.2">
      <c r="A13" s="132" t="s">
        <v>220</v>
      </c>
      <c r="B13" s="132" t="s">
        <v>221</v>
      </c>
      <c r="C13" s="132" t="s">
        <v>222</v>
      </c>
      <c r="D13" s="132" t="s">
        <v>223</v>
      </c>
      <c r="E13" s="132" t="s">
        <v>224</v>
      </c>
      <c r="F13" s="132" t="s">
        <v>225</v>
      </c>
      <c r="G13" s="132" t="s">
        <v>226</v>
      </c>
      <c r="H13" s="132" t="s">
        <v>227</v>
      </c>
      <c r="I13" s="132" t="s">
        <v>228</v>
      </c>
      <c r="J13" s="132" t="s">
        <v>229</v>
      </c>
      <c r="K13" s="132" t="s">
        <v>230</v>
      </c>
      <c r="L13" s="131" t="s">
        <v>219</v>
      </c>
      <c r="M13" s="132" t="s">
        <v>231</v>
      </c>
      <c r="N13" s="133" t="s">
        <v>232</v>
      </c>
      <c r="O13" s="132" t="s">
        <v>233</v>
      </c>
      <c r="P13" s="132" t="s">
        <v>234</v>
      </c>
      <c r="Q13" s="132" t="s">
        <v>235</v>
      </c>
      <c r="R13" s="132" t="s">
        <v>236</v>
      </c>
      <c r="S13" s="134" t="s">
        <v>237</v>
      </c>
      <c r="T13" s="132" t="s">
        <v>205</v>
      </c>
      <c r="U13" s="132" t="str">
        <f>IF(TIPOORCAMENTO="Licitado","","Custo Unitário (sem BDI) (R$)")</f>
        <v>Custo Unitário (sem BDI) (R$)</v>
      </c>
      <c r="V13" s="132" t="str">
        <f>IF(TIPOORCAMENTO="Licitado","","BDI
(%)")</f>
        <v>BDI
(%)</v>
      </c>
      <c r="W13" s="132" t="s">
        <v>238</v>
      </c>
      <c r="X13" s="132" t="s">
        <v>239</v>
      </c>
      <c r="Y13" s="131" t="s">
        <v>219</v>
      </c>
      <c r="Z13" s="131" t="s">
        <v>219</v>
      </c>
      <c r="AA13" s="135" t="s">
        <v>240</v>
      </c>
      <c r="AB13" s="136" t="s">
        <v>241</v>
      </c>
      <c r="AC13" s="132" t="s">
        <v>242</v>
      </c>
      <c r="AD13" s="137" t="s">
        <v>243</v>
      </c>
      <c r="AE13" s="137" t="s">
        <v>244</v>
      </c>
      <c r="AF13" s="137" t="s">
        <v>245</v>
      </c>
      <c r="AG13" s="197" t="s">
        <v>419</v>
      </c>
      <c r="AH13" s="574" t="str">
        <f>IF(TIPOORCAMENTO="LICITADO","Valor BDI Edital","Valor BDI")</f>
        <v>Valor BDI</v>
      </c>
      <c r="AJ13" s="379" t="s">
        <v>205</v>
      </c>
      <c r="AL13" s="379" t="s">
        <v>238</v>
      </c>
      <c r="AM13" s="197" t="s">
        <v>246</v>
      </c>
      <c r="AN13" s="198" t="s">
        <v>415</v>
      </c>
    </row>
    <row r="14" spans="1:40" hidden="1" x14ac:dyDescent="0.2">
      <c r="A14" t="str">
        <f>CHOOSE(1+LOG(1+2*(ORÇAMENTO.Nivel="Meta")+4*(ORÇAMENTO.Nivel="Nível 2")+8*(ORÇAMENTO.Nivel="Nível 3")+16*(ORÇAMENTO.Nivel="Nível 4")+32*(ORÇAMENTO.Nivel="Serviço"),2),0,1,2,3,4,"S")</f>
        <v>S</v>
      </c>
      <c r="B14" t="str">
        <f ca="1">IF(OR(C14="s",C14=0),OFFSET(B14,-1,0),C14)</f>
        <v>Save Nivel</v>
      </c>
      <c r="C14" t="str">
        <f ca="1">IF(OFFSET(C14,-1,0)="L",1,IF(OFFSET(C14,-1,0)=1,2,IF(OR(A14="s",A14=0),"S",IF(AND(OFFSET(C14,-1,0)=2,A14=4),3,IF(AND(OR(OFFSET(C14,-1,0)="s",OFFSET(C14,-1,0)=0),A14&lt;&gt;"s",A14&gt;OFFSET(B14,-1,0)),OFFSET(B14,-1,0),A14)))))</f>
        <v>S</v>
      </c>
      <c r="D14">
        <f ca="1">IF(OR(C14="S",C14=0),0,IF(ISERROR(K14),J14,SMALL(J14:K14,1)))</f>
        <v>0</v>
      </c>
      <c r="E14" t="str">
        <f ca="1">IF($C14=1,OFFSET(E14,-1,0)+MAX(1,COUNTIF(QCI!$A$13:$A$23,OFFSET(ORÇAMENTO!E14,-1,0))),OFFSET(E14,-1,0))</f>
        <v>n1</v>
      </c>
      <c r="F14" t="str">
        <f ca="1">IF($C14=1,0,IF($C14=2,OFFSET(F14,-1,0)+1,OFFSET(F14,-1,0)))</f>
        <v>n2</v>
      </c>
      <c r="G14" t="str">
        <f ca="1">IF(AND($C14&lt;=2,$C14&lt;&gt;0),0,IF($C14=3,OFFSET(G14,-1,0)+1,OFFSET(G14,-1,0)))</f>
        <v>n3</v>
      </c>
      <c r="H14" t="str">
        <f ca="1">IF(AND($C14&lt;=3,$C14&lt;&gt;0),0,IF($C14=4,OFFSET(H14,-1,0)+1,OFFSET(H14,-1,0)))</f>
        <v>n4</v>
      </c>
      <c r="I14" t="str">
        <f ca="1">IF(AND($C14&lt;=4,$C14&lt;&gt;0),0,IF(AND($C14="S",$X14&gt;0),OFFSET(I14,-1,0)+1,OFFSET(I14,-1,0)))</f>
        <v>n5</v>
      </c>
      <c r="J14">
        <f ca="1">IF(OR($C14="S",$C14=0),0,MATCH(0,OFFSET($D14,1,$C14,ROW($C$33)-ROW($C14)),0))</f>
        <v>0</v>
      </c>
      <c r="K14">
        <f ca="1">IF(OR($C14="S",$C14=0),0,MATCH(OFFSET($D14,0,$C14)+IF($C14&lt;&gt;1,1,COUNTIF(QCI!$A$13:$A$23,ORÇAMENTO!E14)),OFFSET($D14,1,$C14,ROW($C$33)-ROW($C14)),0))</f>
        <v>0</v>
      </c>
      <c r="L14" s="139" t="str">
        <f ca="1">IF(OR($X14&gt;0,$C14=1,$C14=2,$C14=3,$C14=4),"F","")</f>
        <v/>
      </c>
      <c r="M14" s="140" t="s">
        <v>201</v>
      </c>
      <c r="N14" s="141" t="str">
        <f ca="1">CHOOSE(1+LOG(1+2*(C14=1)+4*(C14=2)+8*(C14=3)+16*(C14=4)+32*(C14="S"),2),"","Meta","Nível 2","Nível 3","Nível 4","Serviço")</f>
        <v>Serviço</v>
      </c>
      <c r="O14" s="142" t="str">
        <f ca="1">IF(OR($C14=0,$L14=""),"-",CONCATENATE(E14&amp;".",IF(AND($A$5&gt;=2,$C14&gt;=2),F14&amp;".",""),IF(AND($A$5&gt;=3,$C14&gt;=3),G14&amp;".",""),IF(AND($A$5&gt;=4,$C14&gt;=4),H14&amp;".",""),IF($C14="S",I14&amp;".","")))</f>
        <v>-</v>
      </c>
      <c r="P14" s="143" t="s">
        <v>249</v>
      </c>
      <c r="Q14" s="144"/>
      <c r="R14" s="145" t="str">
        <f ca="1">IF($C14="S",REFERENCIA.Descricao,"(digite a descrição aqui)")</f>
        <v>(abra o arquivo 'Referência 11-2023.xls)</v>
      </c>
      <c r="S14" s="146" t="str">
        <f ca="1">REFERENCIA.Unidade</f>
        <v>-</v>
      </c>
      <c r="T14" s="147">
        <f ca="1">OFFSET(CÁLCULO!H$15,ROW($T14)-ROW(T$15),0)</f>
        <v>0</v>
      </c>
      <c r="U14" s="148"/>
      <c r="V14" s="149" t="s">
        <v>158</v>
      </c>
      <c r="W14" s="147">
        <f ca="1">IF($C14="S",ROUND(IF(TIPOORCAMENTO="Proposto",ORÇAMENTO.CustoUnitario*(1+$AH14),ORÇAMENTO.PrecoUnitarioLicitado),15-13*$AF$10),0)</f>
        <v>0</v>
      </c>
      <c r="X14" s="150">
        <f ca="1">IF($C14="S",VTOTAL1,IF($C14=0,0,ROUND(SomaAgrup,15-13*$AF$11)))</f>
        <v>0</v>
      </c>
      <c r="Y14" s="151" t="s">
        <v>247</v>
      </c>
      <c r="Z14" t="str">
        <f ca="1">IF(AND($C14="S",$X14&gt;0),IF(ISBLANK($Y14),"RA",LEFT($Y14,2)),"")</f>
        <v/>
      </c>
      <c r="AA14" s="152">
        <f ca="1">IF($C14="S",IF($Z14="CP",$X14,IF($Z14="RA",(($X14)*QCI!$AA$3),0)),SomaAgrup)</f>
        <v>0</v>
      </c>
      <c r="AB14" s="153">
        <f ca="1">IF($C14="S",IF($Z14="OU",ROUND($X14,2),0),SomaAgrup)</f>
        <v>0</v>
      </c>
      <c r="AC14" s="154" t="str">
        <f ca="1">IF($N14="","",IF(ORÇAMENTO.Descricao="","DESCRIÇÃO",IF(AND($C14="S",ORÇAMENTO.Unidade=""),"UNIDADE",IF($X14&lt;0,"VALOR NEGATIVO",IF(OR(AND(TIPOORCAMENTO="Proposto",$AG14&lt;&gt;"",$AG14&gt;0,ORÇAMENTO.CustoUnitario&gt;$AG14),AND(TIPOORCAMENTO="LICITADO",ORÇAMENTO.PrecoUnitarioLicitado&gt;$AN14)),"ACIMA REF.","")))))</f>
        <v/>
      </c>
      <c r="AD14" s="100" t="str">
        <f ca="1">IF(C14&lt;=CRONO.NivelExibicao,MAX($AD$15:OFFSET(AD14,-1,0))+IF($C14&lt;&gt;1,1,MAX(1,COUNTIF(QCI!$A$13:$A$23,OFFSET($E14,-1,0)))),"")</f>
        <v/>
      </c>
      <c r="AE14" s="110" t="b">
        <f ca="1">IF(AND($C14="S",ORÇAMENTO.CodBarra&lt;&gt;""),IF(ORÇAMENTO.Fonte="",ORÇAMENTO.CodBarra,CONCATENATE(ORÇAMENTO.Fonte," ",ORÇAMENTO.CodBarra)))</f>
        <v>0</v>
      </c>
      <c r="AF14" s="155" t="str">
        <f ca="1">IF(ISERROR(INDIRECT(ORÇAMENTO.BancoRef)),"(abra o arquivo 'Referência "&amp;Excel_BuiltIn_Database&amp;".xls)",IF(OR($C14&lt;&gt;"S",ORÇAMENTO.CodBarra=""),"(Sem Código)",IF(ISERROR(MATCH($AE14,INDIRECT(ORÇAMENTO.BancoRef),0)),"(Código não identificado nas referências)",MATCH($AE14,INDIRECT(ORÇAMENTO.BancoRef),0))))</f>
        <v>(abra o arquivo 'Referência 11-2023.xls)</v>
      </c>
      <c r="AG14" s="575">
        <f ca="1">ROUND(IF(DESONERACAO="sim",REFERENCIA.Desonerado,REFERENCIA.NaoDesonerado),2)</f>
        <v>0</v>
      </c>
      <c r="AH14" s="576">
        <f ca="1">ROUND(IF(ISNUMBER(ORÇAMENTO.OpcaoBDI),ORÇAMENTO.OpcaoBDI,IF(LEFT(ORÇAMENTO.OpcaoBDI,3)="BDI",HLOOKUP(ORÇAMENTO.OpcaoBDI,$F$4:$H$5,2,FALSE),0)),15-11*$AF$9)</f>
        <v>0.20730000000000001</v>
      </c>
      <c r="AJ14" s="578"/>
      <c r="AL14" s="608"/>
      <c r="AM14" s="426">
        <f t="shared" ref="AM14:AM32" ca="1" si="0">$X14</f>
        <v>0</v>
      </c>
      <c r="AN14" s="651">
        <f ca="1">ROUND(ORÇAMENTO.CustoUnitario*(1+$AH14),2)</f>
        <v>0</v>
      </c>
    </row>
    <row r="15" spans="1:40" x14ac:dyDescent="0.2">
      <c r="A15">
        <v>0</v>
      </c>
      <c r="C15" t="s">
        <v>151</v>
      </c>
      <c r="D15">
        <f ca="1">COUNTA(OFFSET(D15,1,0):D$33)</f>
        <v>17</v>
      </c>
      <c r="E15">
        <v>0</v>
      </c>
      <c r="L15" s="139" t="s">
        <v>248</v>
      </c>
      <c r="M15" s="156" t="str">
        <f>IF(TIPOORCAMENTO="LICITADO","CTEF","LOTE")</f>
        <v>LOTE</v>
      </c>
      <c r="N15" s="156" t="str">
        <f>IF(TIPOORCAMENTO="LICITADO","CTEF","LOTE")</f>
        <v>LOTE</v>
      </c>
      <c r="O15" s="709" t="str">
        <f>Import.DescLote</f>
        <v>Adequação de Estradas Vicinais</v>
      </c>
      <c r="P15" s="709"/>
      <c r="Q15" s="709"/>
      <c r="R15" s="709"/>
      <c r="S15" s="157"/>
      <c r="T15" s="158"/>
      <c r="U15" s="158"/>
      <c r="V15" s="159"/>
      <c r="W15" s="158"/>
      <c r="X15" s="160">
        <f ca="1">SUMIF(OFFSET($C15,1,0,ROW(X33)-ROW(X15)-1),"S",OFFSET(X15,1,0,ROW(X33)-ROW(X15)-1))</f>
        <v>501148.51558839995</v>
      </c>
      <c r="Y15" s="110"/>
      <c r="Z15" t="str">
        <f ca="1">IF(AND($C15="S",$X15&gt;0),LEFT($Y15,2),"")</f>
        <v/>
      </c>
      <c r="AA15" s="573">
        <f ca="1">SUMIF(OFFSET($C15,1,0,ROW(AA33)-ROW(AA15)-1),"S",OFFSET(AA15,1,0,ROW(AA33)-ROW(AA15)-1))</f>
        <v>20044.515588400012</v>
      </c>
      <c r="AB15" s="161">
        <f ca="1">SUMIF(OFFSET($C15,1,0,ROW(AB33)-ROW(AB15)-1),"S",OFFSET(AB15,1,0,ROW(AB33)-ROW(AB15)-1))</f>
        <v>0</v>
      </c>
      <c r="AC15" s="162"/>
      <c r="AD15" s="100"/>
      <c r="AE15" s="100"/>
      <c r="AF15" s="100"/>
      <c r="AG15" s="610"/>
      <c r="AH15" s="611"/>
      <c r="AJ15" s="577"/>
      <c r="AL15" s="609"/>
      <c r="AM15" s="652">
        <f t="shared" ca="1" si="0"/>
        <v>501148.51558839995</v>
      </c>
      <c r="AN15" s="653"/>
    </row>
    <row r="16" spans="1:40" x14ac:dyDescent="0.2">
      <c r="A16">
        <f t="shared" ref="A16:A26" si="1">CHOOSE(1+LOG(1+2*(ORÇAMENTO.Nivel="Meta")+4*(ORÇAMENTO.Nivel="Nível 2")+8*(ORÇAMENTO.Nivel="Nível 3")+16*(ORÇAMENTO.Nivel="Nível 4")+32*(ORÇAMENTO.Nivel="Serviço"),2),0,1,2,3,4,"S")</f>
        <v>1</v>
      </c>
      <c r="B16">
        <f t="shared" ref="B16:B26" ca="1" si="2">IF(OR(C16="s",C16=0),OFFSET(B16,-1,0),C16)</f>
        <v>1</v>
      </c>
      <c r="C16">
        <f t="shared" ref="C16:C26" ca="1" si="3">IF(OFFSET(C16,-1,0)="L",1,IF(OFFSET(C16,-1,0)=1,2,IF(OR(A16="s",A16=0),"S",IF(AND(OFFSET(C16,-1,0)=2,A16=4),3,IF(AND(OR(OFFSET(C16,-1,0)="s",OFFSET(C16,-1,0)=0),A16&lt;&gt;"s",A16&gt;OFFSET(B16,-1,0)),OFFSET(B16,-1,0),A16)))))</f>
        <v>1</v>
      </c>
      <c r="D16">
        <f t="shared" ref="D16:D26" ca="1" si="4">IF(OR(C16="S",C16=0),0,IF(ISERROR(K16),J16,SMALL(J16:K16,1)))</f>
        <v>17</v>
      </c>
      <c r="E16">
        <f ca="1">IF($C16=1,OFFSET(E16,-1,0)+MAX(1,COUNTIF(QCI!$A$13:$A$23,OFFSET(ORÇAMENTO!E16,-1,0))),OFFSET(E16,-1,0))</f>
        <v>1</v>
      </c>
      <c r="F16">
        <f t="shared" ref="F16:F26" ca="1" si="5">IF($C16=1,0,IF($C16=2,OFFSET(F16,-1,0)+1,OFFSET(F16,-1,0)))</f>
        <v>0</v>
      </c>
      <c r="G16">
        <f t="shared" ref="G16:G26" ca="1" si="6">IF(AND($C16&lt;=2,$C16&lt;&gt;0),0,IF($C16=3,OFFSET(G16,-1,0)+1,OFFSET(G16,-1,0)))</f>
        <v>0</v>
      </c>
      <c r="H16">
        <f t="shared" ref="H16:H26" ca="1" si="7">IF(AND($C16&lt;=3,$C16&lt;&gt;0),0,IF($C16=4,OFFSET(H16,-1,0)+1,OFFSET(H16,-1,0)))</f>
        <v>0</v>
      </c>
      <c r="I16">
        <f t="shared" ref="I16:I26" ca="1" si="8">IF(AND($C16&lt;=4,$C16&lt;&gt;0),0,IF(AND($C16="S",$X16&gt;0),OFFSET(I16,-1,0)+1,OFFSET(I16,-1,0)))</f>
        <v>0</v>
      </c>
      <c r="J16">
        <f t="shared" ref="J16:J32" ca="1" si="9">IF(OR($C16="S",$C16=0),0,MATCH(0,OFFSET($D16,1,$C16,ROW($C$33)-ROW($C16)),0))</f>
        <v>17</v>
      </c>
      <c r="K16" t="e">
        <f ca="1">IF(OR($C16="S",$C16=0),0,MATCH(OFFSET($D16,0,$C16)+IF($C16&lt;&gt;1,1,COUNTIF(QCI!$A$13:$A$23,ORÇAMENTO!E16)),OFFSET($D16,1,$C16,ROW($C$33)-ROW($C16)),0))</f>
        <v>#N/A</v>
      </c>
      <c r="L16" s="139" t="str">
        <f t="shared" ref="L16:L26" ca="1" si="10">IF(OR($X16&gt;0,$C16=1,$C16=2,$C16=3,$C16=4),"F","")</f>
        <v>F</v>
      </c>
      <c r="M16" s="140" t="s">
        <v>197</v>
      </c>
      <c r="N16" s="141" t="str">
        <f t="shared" ref="N16:N26" ca="1" si="11">CHOOSE(1+LOG(1+2*(C16=1)+4*(C16=2)+8*(C16=3)+16*(C16=4)+32*(C16="S"),2),"","Meta","Nível 2","Nível 3","Nível 4","Serviço")</f>
        <v>Meta</v>
      </c>
      <c r="O16" s="142" t="str">
        <f t="shared" ref="O16:O26" ca="1" si="12">IF(OR($C16=0,$L16=""),"-",CONCATENATE(E16&amp;".",IF(AND($A$5&gt;=2,$C16&gt;=2),F16&amp;".",""),IF(AND($A$5&gt;=3,$C16&gt;=3),G16&amp;".",""),IF(AND($A$5&gt;=4,$C16&gt;=4),H16&amp;".",""),IF($C16="S",I16&amp;".","")))</f>
        <v>1.</v>
      </c>
      <c r="P16" s="143" t="s">
        <v>249</v>
      </c>
      <c r="Q16" s="144"/>
      <c r="R16" s="659" t="s">
        <v>461</v>
      </c>
      <c r="S16" s="146" t="str">
        <f t="shared" ref="S16:S28" ca="1" si="13">REFERENCIA.Unidade</f>
        <v>-</v>
      </c>
      <c r="T16" s="147">
        <f ca="1">OFFSET(CÁLCULO!H$15,ROW($T16)-ROW(T$15),0)</f>
        <v>0</v>
      </c>
      <c r="U16" s="148"/>
      <c r="V16" s="149" t="s">
        <v>158</v>
      </c>
      <c r="W16" s="147">
        <f t="shared" ref="W16:W26" ca="1" si="14">IF($C16="S",ROUND(IF(TIPOORCAMENTO="Proposto",ORÇAMENTO.CustoUnitario*(1+$AH16),ORÇAMENTO.PrecoUnitarioLicitado),15-13*$AF$10),0)</f>
        <v>0</v>
      </c>
      <c r="X16" s="150">
        <f t="shared" ref="X16:X26" ca="1" si="15">IF($C16="S",VTOTAL1,IF($C16=0,0,ROUND(SomaAgrup,15-13*$AF$11)))</f>
        <v>501148.51558840001</v>
      </c>
      <c r="Y16" s="151" t="s">
        <v>247</v>
      </c>
      <c r="Z16" t="str">
        <f t="shared" ref="Z16:Z26" ca="1" si="16">IF(AND($C16="S",$X16&gt;0),IF(ISBLANK($Y16),"RA",LEFT($Y16,2)),"")</f>
        <v/>
      </c>
      <c r="AA16" s="152">
        <f ca="1">IF($C16="S",IF($Z16="CP",$X16,IF($Z16="RA",(($X16)*QCI!$AA$3),0)),SomaAgrup)</f>
        <v>20044.515588400012</v>
      </c>
      <c r="AB16" s="153">
        <f t="shared" ref="AB16:AB26" ca="1" si="17">IF($C16="S",IF($Z16="OU",ROUND($X16,2),0),SomaAgrup)</f>
        <v>0</v>
      </c>
      <c r="AC16" s="154" t="str">
        <f t="shared" ref="AC16:AC26" ca="1" si="18">IF($N16="","",IF(ORÇAMENTO.Descricao="","DESCRIÇÃO",IF(AND($C16="S",ORÇAMENTO.Unidade=""),"UNIDADE",IF($X16&lt;0,"VALOR NEGATIVO",IF(OR(AND(TIPOORCAMENTO="Proposto",$AG16&lt;&gt;"",$AG16&gt;0,ORÇAMENTO.CustoUnitario&gt;$AG16),AND(TIPOORCAMENTO="LICITADO",ORÇAMENTO.PrecoUnitarioLicitado&gt;$AN16)),"ACIMA REF.","")))))</f>
        <v/>
      </c>
      <c r="AD16" s="100">
        <f ca="1">IF(C16&lt;=CRONO.NivelExibicao,MAX($AD$15:OFFSET(AD16,-1,0))+IF($C16&lt;&gt;1,1,MAX(1,COUNTIF(QCI!$A$13:$A$23,OFFSET($E16,-1,0)))),"")</f>
        <v>1</v>
      </c>
      <c r="AE16" s="110" t="b">
        <f t="shared" ref="AE16:AE26" ca="1" si="19">IF(AND($C16="S",ORÇAMENTO.CodBarra&lt;&gt;""),IF(ORÇAMENTO.Fonte="",ORÇAMENTO.CodBarra,CONCATENATE(ORÇAMENTO.Fonte," ",ORÇAMENTO.CodBarra)))</f>
        <v>0</v>
      </c>
      <c r="AF16" s="155" t="str">
        <f t="shared" ref="AF16:AF26" ca="1" si="20">IF(ISERROR(INDIRECT(ORÇAMENTO.BancoRef)),"(abra o arquivo 'Referência "&amp;Excel_BuiltIn_Database&amp;".xls)",IF(OR($C16&lt;&gt;"S",ORÇAMENTO.CodBarra=""),"(Sem Código)",IF(ISERROR(MATCH($AE16,INDIRECT(ORÇAMENTO.BancoRef),0)),"(Código não identificado nas referências)",MATCH($AE16,INDIRECT(ORÇAMENTO.BancoRef),0))))</f>
        <v>(abra o arquivo 'Referência 11-2023.xls)</v>
      </c>
      <c r="AG16" s="575">
        <f t="shared" ref="AG16:AG26" ca="1" si="21">ROUND(IF(DESONERACAO="sim",REFERENCIA.Desonerado,REFERENCIA.NaoDesonerado),2)</f>
        <v>0</v>
      </c>
      <c r="AH16" s="576">
        <f t="shared" ref="AH16:AH26" ca="1" si="22">ROUND(IF(ISNUMBER(ORÇAMENTO.OpcaoBDI),ORÇAMENTO.OpcaoBDI,IF(LEFT(ORÇAMENTO.OpcaoBDI,3)="BDI",HLOOKUP(ORÇAMENTO.OpcaoBDI,$F$4:$H$5,2,FALSE),0)),15-11*$AF$9)</f>
        <v>0.20730000000000001</v>
      </c>
      <c r="AJ16" s="578"/>
      <c r="AL16" s="608"/>
      <c r="AM16" s="426">
        <f t="shared" ca="1" si="0"/>
        <v>501148.51558840001</v>
      </c>
      <c r="AN16" s="651">
        <f t="shared" ref="AN16:AN26" ca="1" si="23">ROUND(ORÇAMENTO.CustoUnitario*(1+$AH16),2)</f>
        <v>0</v>
      </c>
    </row>
    <row r="17" spans="1:40" x14ac:dyDescent="0.2">
      <c r="A17">
        <f t="shared" si="1"/>
        <v>2</v>
      </c>
      <c r="B17">
        <f t="shared" ca="1" si="2"/>
        <v>2</v>
      </c>
      <c r="C17">
        <f t="shared" ca="1" si="3"/>
        <v>2</v>
      </c>
      <c r="D17">
        <f t="shared" ca="1" si="4"/>
        <v>3</v>
      </c>
      <c r="E17">
        <f ca="1">IF($C17=1,OFFSET(E17,-1,0)+MAX(1,COUNTIF(QCI!$A$13:$A$23,OFFSET(ORÇAMENTO!E17,-1,0))),OFFSET(E17,-1,0))</f>
        <v>1</v>
      </c>
      <c r="F17">
        <f t="shared" ca="1" si="5"/>
        <v>1</v>
      </c>
      <c r="G17">
        <f t="shared" ca="1" si="6"/>
        <v>0</v>
      </c>
      <c r="H17">
        <f t="shared" ca="1" si="7"/>
        <v>0</v>
      </c>
      <c r="I17">
        <f t="shared" ca="1" si="8"/>
        <v>0</v>
      </c>
      <c r="J17">
        <f t="shared" ca="1" si="9"/>
        <v>16</v>
      </c>
      <c r="K17">
        <f ca="1">IF(OR($C17="S",$C17=0),0,MATCH(OFFSET($D17,0,$C17)+IF($C17&lt;&gt;1,1,COUNTIF(QCI!$A$13:$A$23,ORÇAMENTO!E17)),OFFSET($D17,1,$C17,ROW($C$33)-ROW($C17)),0))</f>
        <v>3</v>
      </c>
      <c r="L17" s="139" t="str">
        <f t="shared" ca="1" si="10"/>
        <v>F</v>
      </c>
      <c r="M17" s="140" t="s">
        <v>198</v>
      </c>
      <c r="N17" s="141" t="str">
        <f t="shared" ca="1" si="11"/>
        <v>Nível 2</v>
      </c>
      <c r="O17" s="142" t="str">
        <f t="shared" ca="1" si="12"/>
        <v>1.1.</v>
      </c>
      <c r="P17" s="143" t="s">
        <v>249</v>
      </c>
      <c r="Q17" s="144"/>
      <c r="R17" s="659" t="s">
        <v>440</v>
      </c>
      <c r="S17" s="146" t="str">
        <f t="shared" ca="1" si="13"/>
        <v>-</v>
      </c>
      <c r="T17" s="147">
        <f ca="1">OFFSET(CÁLCULO!H$15,ROW($T17)-ROW(T$15),0)</f>
        <v>0</v>
      </c>
      <c r="U17" s="148"/>
      <c r="V17" s="149" t="s">
        <v>158</v>
      </c>
      <c r="W17" s="147">
        <f t="shared" ca="1" si="14"/>
        <v>0</v>
      </c>
      <c r="X17" s="150">
        <f t="shared" ca="1" si="15"/>
        <v>6784.81</v>
      </c>
      <c r="Y17" s="151" t="s">
        <v>247</v>
      </c>
      <c r="Z17" t="str">
        <f t="shared" ca="1" si="16"/>
        <v/>
      </c>
      <c r="AA17" s="152">
        <f ca="1">IF($C17="S",IF($Z17="CP",$X17,IF($Z17="RA",(($X17)*QCI!$AA$3),0)),SomaAgrup)</f>
        <v>271.37310713103949</v>
      </c>
      <c r="AB17" s="153">
        <f t="shared" ca="1" si="17"/>
        <v>0</v>
      </c>
      <c r="AC17" s="154" t="str">
        <f t="shared" ca="1" si="18"/>
        <v/>
      </c>
      <c r="AD17" s="100">
        <f ca="1">IF(C17&lt;=CRONO.NivelExibicao,MAX($AD$15:OFFSET(AD17,-1,0))+IF($C17&lt;&gt;1,1,MAX(1,COUNTIF(QCI!$A$13:$A$23,OFFSET($E17,-1,0)))),"")</f>
        <v>2</v>
      </c>
      <c r="AE17" s="110" t="b">
        <f t="shared" ca="1" si="19"/>
        <v>0</v>
      </c>
      <c r="AF17" s="155" t="str">
        <f t="shared" ca="1" si="20"/>
        <v>(abra o arquivo 'Referência 11-2023.xls)</v>
      </c>
      <c r="AG17" s="575">
        <f t="shared" ca="1" si="21"/>
        <v>0</v>
      </c>
      <c r="AH17" s="576">
        <f t="shared" ca="1" si="22"/>
        <v>0.20730000000000001</v>
      </c>
      <c r="AJ17" s="578"/>
      <c r="AL17" s="608"/>
      <c r="AM17" s="426">
        <f t="shared" ca="1" si="0"/>
        <v>6784.81</v>
      </c>
      <c r="AN17" s="651">
        <f t="shared" ca="1" si="23"/>
        <v>0</v>
      </c>
    </row>
    <row r="18" spans="1:40" ht="25.5" x14ac:dyDescent="0.2">
      <c r="A18" t="str">
        <f t="shared" si="1"/>
        <v>S</v>
      </c>
      <c r="B18">
        <f t="shared" ca="1" si="2"/>
        <v>2</v>
      </c>
      <c r="C18" t="str">
        <f t="shared" ca="1" si="3"/>
        <v>S</v>
      </c>
      <c r="D18">
        <f t="shared" ca="1" si="4"/>
        <v>0</v>
      </c>
      <c r="E18">
        <f ca="1">IF($C18=1,OFFSET(E18,-1,0)+MAX(1,COUNTIF(QCI!$A$13:$A$23,OFFSET(ORÇAMENTO!E18,-1,0))),OFFSET(E18,-1,0))</f>
        <v>1</v>
      </c>
      <c r="F18">
        <f t="shared" ca="1" si="5"/>
        <v>1</v>
      </c>
      <c r="G18">
        <f t="shared" ca="1" si="6"/>
        <v>0</v>
      </c>
      <c r="H18">
        <f t="shared" ca="1" si="7"/>
        <v>0</v>
      </c>
      <c r="I18">
        <f t="shared" ca="1" si="8"/>
        <v>1</v>
      </c>
      <c r="J18">
        <f t="shared" ca="1" si="9"/>
        <v>0</v>
      </c>
      <c r="K18">
        <f ca="1">IF(OR($C18="S",$C18=0),0,MATCH(OFFSET($D18,0,$C18)+IF($C18&lt;&gt;1,1,COUNTIF(QCI!$A$13:$A$23,ORÇAMENTO!E18)),OFFSET($D18,1,$C18,ROW($C$33)-ROW($C18)),0))</f>
        <v>0</v>
      </c>
      <c r="L18" s="139" t="str">
        <f t="shared" ca="1" si="10"/>
        <v>F</v>
      </c>
      <c r="M18" s="140" t="s">
        <v>201</v>
      </c>
      <c r="N18" s="141" t="str">
        <f t="shared" ca="1" si="11"/>
        <v>Serviço</v>
      </c>
      <c r="O18" s="142" t="str">
        <f t="shared" ca="1" si="12"/>
        <v>1.1.1.</v>
      </c>
      <c r="P18" s="143" t="s">
        <v>249</v>
      </c>
      <c r="Q18" s="144" t="s">
        <v>469</v>
      </c>
      <c r="R18" s="145" t="str">
        <f ca="1">IF($C18="S",REFERENCIA.Descricao,"(digite a descrição aqui)")</f>
        <v>(abra o arquivo 'Referência 11-2023.xls)</v>
      </c>
      <c r="S18" s="146" t="str">
        <f t="shared" ca="1" si="13"/>
        <v>-</v>
      </c>
      <c r="T18" s="147">
        <f ca="1">OFFSET(CÁLCULO!H$15,ROW($T18)-ROW(T$15),0)</f>
        <v>4.5</v>
      </c>
      <c r="U18" s="148">
        <f>1671.89/4.5/1.2073</f>
        <v>307.73719134524242</v>
      </c>
      <c r="V18" s="149" t="s">
        <v>158</v>
      </c>
      <c r="W18" s="147">
        <f t="shared" ca="1" si="14"/>
        <v>371.53111111111099</v>
      </c>
      <c r="X18" s="150">
        <f t="shared" ca="1" si="15"/>
        <v>1671.89</v>
      </c>
      <c r="Y18" s="151" t="s">
        <v>247</v>
      </c>
      <c r="Z18" t="str">
        <f t="shared" ca="1" si="16"/>
        <v>RA</v>
      </c>
      <c r="AA18" s="152">
        <f ca="1">IF($C18="S",IF($Z18="CP",$X18,IF($Z18="RA",(($X18)*QCI!$AA$3),0)),SomaAgrup)</f>
        <v>66.870845916291486</v>
      </c>
      <c r="AB18" s="153">
        <f t="shared" ca="1" si="17"/>
        <v>0</v>
      </c>
      <c r="AC18" s="154" t="str">
        <f t="shared" ca="1" si="18"/>
        <v/>
      </c>
      <c r="AD18" s="100" t="str">
        <f ca="1">IF(C18&lt;=CRONO.NivelExibicao,MAX($AD$15:OFFSET(AD18,-1,0))+IF($C18&lt;&gt;1,1,MAX(1,COUNTIF(QCI!$A$13:$A$23,OFFSET($E18,-1,0)))),"")</f>
        <v/>
      </c>
      <c r="AE18" s="110" t="str">
        <f t="shared" ca="1" si="19"/>
        <v>SINAPI 103689</v>
      </c>
      <c r="AF18" s="155" t="str">
        <f t="shared" ca="1" si="20"/>
        <v>(abra o arquivo 'Referência 11-2023.xls)</v>
      </c>
      <c r="AG18" s="575">
        <f t="shared" ca="1" si="21"/>
        <v>0</v>
      </c>
      <c r="AH18" s="576">
        <f t="shared" ca="1" si="22"/>
        <v>0.20730000000000001</v>
      </c>
      <c r="AJ18" s="578"/>
      <c r="AL18" s="608">
        <v>313.74</v>
      </c>
      <c r="AM18" s="426">
        <f t="shared" ca="1" si="0"/>
        <v>1671.89</v>
      </c>
      <c r="AN18" s="651">
        <f t="shared" ca="1" si="23"/>
        <v>371.53</v>
      </c>
    </row>
    <row r="19" spans="1:40" x14ac:dyDescent="0.2">
      <c r="A19" t="str">
        <f t="shared" si="1"/>
        <v>S</v>
      </c>
      <c r="B19">
        <f t="shared" ca="1" si="2"/>
        <v>2</v>
      </c>
      <c r="C19" t="str">
        <f t="shared" ca="1" si="3"/>
        <v>S</v>
      </c>
      <c r="D19">
        <f t="shared" ca="1" si="4"/>
        <v>0</v>
      </c>
      <c r="E19">
        <f ca="1">IF($C19=1,OFFSET(E19,-1,0)+MAX(1,COUNTIF(QCI!$A$13:$A$23,OFFSET(ORÇAMENTO!E19,-1,0))),OFFSET(E19,-1,0))</f>
        <v>1</v>
      </c>
      <c r="F19">
        <f t="shared" ca="1" si="5"/>
        <v>1</v>
      </c>
      <c r="G19">
        <f t="shared" ca="1" si="6"/>
        <v>0</v>
      </c>
      <c r="H19">
        <f t="shared" ca="1" si="7"/>
        <v>0</v>
      </c>
      <c r="I19">
        <f t="shared" ca="1" si="8"/>
        <v>2</v>
      </c>
      <c r="J19">
        <f t="shared" ca="1" si="9"/>
        <v>0</v>
      </c>
      <c r="K19">
        <f ca="1">IF(OR($C19="S",$C19=0),0,MATCH(OFFSET($D19,0,$C19)+IF($C19&lt;&gt;1,1,COUNTIF(QCI!$A$13:$A$23,ORÇAMENTO!E19)),OFFSET($D19,1,$C19,ROW($C$33)-ROW($C19)),0))</f>
        <v>0</v>
      </c>
      <c r="L19" s="139" t="str">
        <f t="shared" ca="1" si="10"/>
        <v>F</v>
      </c>
      <c r="M19" s="140" t="s">
        <v>201</v>
      </c>
      <c r="N19" s="141" t="str">
        <f t="shared" ca="1" si="11"/>
        <v>Serviço</v>
      </c>
      <c r="O19" s="142" t="str">
        <f t="shared" ca="1" si="12"/>
        <v>1.1.2.</v>
      </c>
      <c r="P19" s="143" t="s">
        <v>470</v>
      </c>
      <c r="Q19" s="144" t="s">
        <v>471</v>
      </c>
      <c r="R19" s="145" t="s">
        <v>472</v>
      </c>
      <c r="S19" s="146" t="s">
        <v>493</v>
      </c>
      <c r="T19" s="147">
        <f ca="1">OFFSET(CÁLCULO!H$15,ROW($T19)-ROW(T$15),0)</f>
        <v>3759.5</v>
      </c>
      <c r="U19" s="148">
        <f>5112.92/3759.5/1.2073</f>
        <v>1.126480576493001</v>
      </c>
      <c r="V19" s="149" t="s">
        <v>158</v>
      </c>
      <c r="W19" s="147">
        <f t="shared" ca="1" si="14"/>
        <v>1.36</v>
      </c>
      <c r="X19" s="150">
        <f t="shared" ca="1" si="15"/>
        <v>5112.92</v>
      </c>
      <c r="Y19" s="151" t="s">
        <v>247</v>
      </c>
      <c r="Z19" t="str">
        <f t="shared" ca="1" si="16"/>
        <v>RA</v>
      </c>
      <c r="AA19" s="152">
        <f ca="1">IF($C19="S",IF($Z19="CP",$X19,IF($Z19="RA",(($X19)*QCI!$AA$3),0)),SomaAgrup)</f>
        <v>204.50226121474802</v>
      </c>
      <c r="AB19" s="153">
        <f t="shared" ca="1" si="17"/>
        <v>0</v>
      </c>
      <c r="AC19" s="154" t="str">
        <f t="shared" ca="1" si="18"/>
        <v/>
      </c>
      <c r="AD19" s="100" t="str">
        <f ca="1">IF(C19&lt;=CRONO.NivelExibicao,MAX($AD$15:OFFSET(AD19,-1,0))+IF($C19&lt;&gt;1,1,MAX(1,COUNTIF(QCI!$A$13:$A$23,OFFSET($E19,-1,0)))),"")</f>
        <v/>
      </c>
      <c r="AE19" s="110" t="str">
        <f t="shared" ca="1" si="19"/>
        <v>SICRO 4011209</v>
      </c>
      <c r="AF19" s="155" t="str">
        <f t="shared" ca="1" si="20"/>
        <v>(abra o arquivo 'Referência 11-2023.xls)</v>
      </c>
      <c r="AG19" s="575">
        <f t="shared" ca="1" si="21"/>
        <v>0</v>
      </c>
      <c r="AH19" s="576">
        <f t="shared" ca="1" si="22"/>
        <v>0.20730000000000001</v>
      </c>
      <c r="AJ19" s="578"/>
      <c r="AL19" s="608"/>
      <c r="AM19" s="426">
        <f t="shared" ca="1" si="0"/>
        <v>5112.92</v>
      </c>
      <c r="AN19" s="651">
        <f t="shared" ca="1" si="23"/>
        <v>1.36</v>
      </c>
    </row>
    <row r="20" spans="1:40" x14ac:dyDescent="0.2">
      <c r="A20">
        <f t="shared" si="1"/>
        <v>2</v>
      </c>
      <c r="B20">
        <f t="shared" ca="1" si="2"/>
        <v>2</v>
      </c>
      <c r="C20">
        <f t="shared" ca="1" si="3"/>
        <v>2</v>
      </c>
      <c r="D20">
        <f t="shared" ca="1" si="4"/>
        <v>2</v>
      </c>
      <c r="E20">
        <f ca="1">IF($C20=1,OFFSET(E20,-1,0)+MAX(1,COUNTIF(QCI!$A$13:$A$23,OFFSET(ORÇAMENTO!E20,-1,0))),OFFSET(E20,-1,0))</f>
        <v>1</v>
      </c>
      <c r="F20">
        <f t="shared" ca="1" si="5"/>
        <v>2</v>
      </c>
      <c r="G20">
        <f t="shared" ca="1" si="6"/>
        <v>0</v>
      </c>
      <c r="H20">
        <f t="shared" ca="1" si="7"/>
        <v>0</v>
      </c>
      <c r="I20">
        <f t="shared" ca="1" si="8"/>
        <v>0</v>
      </c>
      <c r="J20">
        <f t="shared" ca="1" si="9"/>
        <v>13</v>
      </c>
      <c r="K20">
        <f ca="1">IF(OR($C20="S",$C20=0),0,MATCH(OFFSET($D20,0,$C20)+IF($C20&lt;&gt;1,1,COUNTIF(QCI!$A$13:$A$23,ORÇAMENTO!E20)),OFFSET($D20,1,$C20,ROW($C$33)-ROW($C20)),0))</f>
        <v>2</v>
      </c>
      <c r="L20" s="139" t="str">
        <f t="shared" ca="1" si="10"/>
        <v>F</v>
      </c>
      <c r="M20" s="140" t="s">
        <v>198</v>
      </c>
      <c r="N20" s="141" t="str">
        <f t="shared" ca="1" si="11"/>
        <v>Nível 2</v>
      </c>
      <c r="O20" s="142" t="str">
        <f t="shared" ca="1" si="12"/>
        <v>1.2.</v>
      </c>
      <c r="P20" s="143" t="s">
        <v>249</v>
      </c>
      <c r="Q20" s="144"/>
      <c r="R20" s="145" t="s">
        <v>473</v>
      </c>
      <c r="S20" s="146" t="str">
        <f t="shared" ca="1" si="13"/>
        <v>-</v>
      </c>
      <c r="T20" s="147">
        <f ca="1">OFFSET(CÁLCULO!H$15,ROW($T20)-ROW(T$15),0)</f>
        <v>0</v>
      </c>
      <c r="U20" s="148"/>
      <c r="V20" s="149" t="s">
        <v>158</v>
      </c>
      <c r="W20" s="147">
        <f t="shared" ca="1" si="14"/>
        <v>0</v>
      </c>
      <c r="X20" s="150">
        <f t="shared" ca="1" si="15"/>
        <v>11619.1855884</v>
      </c>
      <c r="Y20" s="151" t="s">
        <v>247</v>
      </c>
      <c r="Z20" t="str">
        <f t="shared" ca="1" si="16"/>
        <v/>
      </c>
      <c r="AA20" s="152">
        <f ca="1">IF($C20="S",IF($Z20="CP",$X20,IF($Z20="RA",(($X20)*QCI!$AA$3),0)),SomaAgrup)</f>
        <v>464.73438393356679</v>
      </c>
      <c r="AB20" s="153">
        <f t="shared" ca="1" si="17"/>
        <v>0</v>
      </c>
      <c r="AC20" s="154" t="str">
        <f t="shared" ca="1" si="18"/>
        <v/>
      </c>
      <c r="AD20" s="100">
        <f ca="1">IF(C20&lt;=CRONO.NivelExibicao,MAX($AD$15:OFFSET(AD20,-1,0))+IF($C20&lt;&gt;1,1,MAX(1,COUNTIF(QCI!$A$13:$A$23,OFFSET($E20,-1,0)))),"")</f>
        <v>3</v>
      </c>
      <c r="AE20" s="110" t="b">
        <f t="shared" ca="1" si="19"/>
        <v>0</v>
      </c>
      <c r="AF20" s="155" t="str">
        <f t="shared" ca="1" si="20"/>
        <v>(abra o arquivo 'Referência 11-2023.xls)</v>
      </c>
      <c r="AG20" s="575">
        <f t="shared" ca="1" si="21"/>
        <v>0</v>
      </c>
      <c r="AH20" s="576">
        <f t="shared" ca="1" si="22"/>
        <v>0.20730000000000001</v>
      </c>
      <c r="AJ20" s="578"/>
      <c r="AL20" s="608"/>
      <c r="AM20" s="426">
        <f t="shared" ca="1" si="0"/>
        <v>11619.1855884</v>
      </c>
      <c r="AN20" s="651">
        <f t="shared" ca="1" si="23"/>
        <v>0</v>
      </c>
    </row>
    <row r="21" spans="1:40" x14ac:dyDescent="0.2">
      <c r="A21" t="str">
        <f t="shared" si="1"/>
        <v>S</v>
      </c>
      <c r="B21">
        <f t="shared" ca="1" si="2"/>
        <v>2</v>
      </c>
      <c r="C21" t="str">
        <f t="shared" ca="1" si="3"/>
        <v>S</v>
      </c>
      <c r="D21">
        <f t="shared" ca="1" si="4"/>
        <v>0</v>
      </c>
      <c r="E21">
        <f ca="1">IF($C21=1,OFFSET(E21,-1,0)+MAX(1,COUNTIF(QCI!$A$13:$A$23,OFFSET(ORÇAMENTO!E21,-1,0))),OFFSET(E21,-1,0))</f>
        <v>1</v>
      </c>
      <c r="F21">
        <f t="shared" ca="1" si="5"/>
        <v>2</v>
      </c>
      <c r="G21">
        <f t="shared" ca="1" si="6"/>
        <v>0</v>
      </c>
      <c r="H21">
        <f t="shared" ca="1" si="7"/>
        <v>0</v>
      </c>
      <c r="I21">
        <f t="shared" ca="1" si="8"/>
        <v>1</v>
      </c>
      <c r="J21">
        <f t="shared" ca="1" si="9"/>
        <v>0</v>
      </c>
      <c r="K21">
        <f ca="1">IF(OR($C21="S",$C21=0),0,MATCH(OFFSET($D21,0,$C21)+IF($C21&lt;&gt;1,1,COUNTIF(QCI!$A$13:$A$23,ORÇAMENTO!E21)),OFFSET($D21,1,$C21,ROW($C$33)-ROW($C21)),0))</f>
        <v>0</v>
      </c>
      <c r="L21" s="139" t="str">
        <f t="shared" ca="1" si="10"/>
        <v>F</v>
      </c>
      <c r="M21" s="140" t="s">
        <v>201</v>
      </c>
      <c r="N21" s="141" t="str">
        <f t="shared" ca="1" si="11"/>
        <v>Serviço</v>
      </c>
      <c r="O21" s="142" t="str">
        <f t="shared" ca="1" si="12"/>
        <v>1.2.1.</v>
      </c>
      <c r="P21" s="143" t="s">
        <v>474</v>
      </c>
      <c r="Q21" s="144" t="s">
        <v>475</v>
      </c>
      <c r="R21" s="145" t="s">
        <v>473</v>
      </c>
      <c r="S21" s="146" t="s">
        <v>498</v>
      </c>
      <c r="T21" s="147">
        <f ca="1">OFFSET(CÁLCULO!H$15,ROW($T21)-ROW(T$15),0)</f>
        <v>0.68</v>
      </c>
      <c r="U21" s="148">
        <v>14153.1</v>
      </c>
      <c r="V21" s="149" t="s">
        <v>158</v>
      </c>
      <c r="W21" s="147">
        <f t="shared" ca="1" si="14"/>
        <v>17087.037629999999</v>
      </c>
      <c r="X21" s="150">
        <f t="shared" ca="1" si="15"/>
        <v>11619.1855884</v>
      </c>
      <c r="Y21" s="151" t="s">
        <v>247</v>
      </c>
      <c r="Z21" t="str">
        <f t="shared" ca="1" si="16"/>
        <v>RA</v>
      </c>
      <c r="AA21" s="152">
        <f ca="1">IF($C21="S",IF($Z21="CP",$X21,IF($Z21="RA",(($X21)*QCI!$AA$3),0)),SomaAgrup)</f>
        <v>464.73438393356679</v>
      </c>
      <c r="AB21" s="153">
        <f t="shared" ca="1" si="17"/>
        <v>0</v>
      </c>
      <c r="AC21" s="154" t="str">
        <f t="shared" ca="1" si="18"/>
        <v/>
      </c>
      <c r="AD21" s="100" t="str">
        <f ca="1">IF(C21&lt;=CRONO.NivelExibicao,MAX($AD$15:OFFSET(AD21,-1,0))+IF($C21&lt;&gt;1,1,MAX(1,COUNTIF(QCI!$A$13:$A$23,OFFSET($E21,-1,0)))),"")</f>
        <v/>
      </c>
      <c r="AE21" s="110" t="str">
        <f t="shared" ca="1" si="19"/>
        <v>Composição 001</v>
      </c>
      <c r="AF21" s="155" t="str">
        <f t="shared" ca="1" si="20"/>
        <v>(abra o arquivo 'Referência 11-2023.xls)</v>
      </c>
      <c r="AG21" s="575">
        <f t="shared" ca="1" si="21"/>
        <v>0</v>
      </c>
      <c r="AH21" s="576">
        <f t="shared" ca="1" si="22"/>
        <v>0.20730000000000001</v>
      </c>
      <c r="AJ21" s="578"/>
      <c r="AL21" s="608"/>
      <c r="AM21" s="426">
        <f t="shared" ca="1" si="0"/>
        <v>11619.1855884</v>
      </c>
      <c r="AN21" s="651">
        <f t="shared" ca="1" si="23"/>
        <v>17087.04</v>
      </c>
    </row>
    <row r="22" spans="1:40" x14ac:dyDescent="0.2">
      <c r="A22">
        <f>CHOOSE(1+LOG(1+2*(ORÇAMENTO.Nivel="Meta")+4*(ORÇAMENTO.Nivel="Nível 2")+8*(ORÇAMENTO.Nivel="Nível 3")+16*(ORÇAMENTO.Nivel="Nível 4")+32*(ORÇAMENTO.Nivel="Serviço"),2),0,1,2,3,4,"S")</f>
        <v>2</v>
      </c>
      <c r="B22">
        <f ca="1">IF(OR(C22="s",C22=0),OFFSET(B22,-1,0),C22)</f>
        <v>2</v>
      </c>
      <c r="C22">
        <f ca="1">IF(OFFSET(C22,-1,0)="L",1,IF(OFFSET(C22,-1,0)=1,2,IF(OR(A22="s",A22=0),"S",IF(AND(OFFSET(C22,-1,0)=2,A22=4),3,IF(AND(OR(OFFSET(C22,-1,0)="s",OFFSET(C22,-1,0)=0),A22&lt;&gt;"s",A22&gt;OFFSET(B22,-1,0)),OFFSET(B22,-1,0),A22)))))</f>
        <v>2</v>
      </c>
      <c r="D22">
        <f ca="1">IF(OR(C22="S",C22=0),0,IF(ISERROR(K22),J22,SMALL(J22:K22,1)))</f>
        <v>3</v>
      </c>
      <c r="E22">
        <f ca="1">IF($C22=1,OFFSET(E22,-1,0)+MAX(1,COUNTIF(QCI!$A$13:$A$23,OFFSET(ORÇAMENTO!E22,-1,0))),OFFSET(E22,-1,0))</f>
        <v>1</v>
      </c>
      <c r="F22">
        <f ca="1">IF($C22=1,0,IF($C22=2,OFFSET(F22,-1,0)+1,OFFSET(F22,-1,0)))</f>
        <v>3</v>
      </c>
      <c r="G22">
        <f ca="1">IF(AND($C22&lt;=2,$C22&lt;&gt;0),0,IF($C22=3,OFFSET(G22,-1,0)+1,OFFSET(G22,-1,0)))</f>
        <v>0</v>
      </c>
      <c r="H22">
        <f ca="1">IF(AND($C22&lt;=3,$C22&lt;&gt;0),0,IF($C22=4,OFFSET(H22,-1,0)+1,OFFSET(H22,-1,0)))</f>
        <v>0</v>
      </c>
      <c r="I22">
        <f ca="1">IF(AND($C22&lt;=4,$C22&lt;&gt;0),0,IF(AND($C22="S",$X22&gt;0),OFFSET(I22,-1,0)+1,OFFSET(I22,-1,0)))</f>
        <v>0</v>
      </c>
      <c r="J22">
        <f t="shared" ca="1" si="9"/>
        <v>11</v>
      </c>
      <c r="K22">
        <f ca="1">IF(OR($C22="S",$C22=0),0,MATCH(OFFSET($D22,0,$C22)+IF($C22&lt;&gt;1,1,COUNTIF(QCI!$A$13:$A$23,ORÇAMENTO!E22)),OFFSET($D22,1,$C22,ROW($C$33)-ROW($C22)),0))</f>
        <v>3</v>
      </c>
      <c r="L22" s="139" t="str">
        <f ca="1">IF(OR($X22&gt;0,$C22=1,$C22=2,$C22=3,$C22=4),"F","")</f>
        <v>F</v>
      </c>
      <c r="M22" s="140" t="s">
        <v>198</v>
      </c>
      <c r="N22" s="141" t="str">
        <f ca="1">CHOOSE(1+LOG(1+2*(C22=1)+4*(C22=2)+8*(C22=3)+16*(C22=4)+32*(C22="S"),2),"","Meta","Nível 2","Nível 3","Nível 4","Serviço")</f>
        <v>Nível 2</v>
      </c>
      <c r="O22" s="142" t="str">
        <f ca="1">IF(OR($C22=0,$L22=""),"-",CONCATENATE(E22&amp;".",IF(AND($A$5&gt;=2,$C22&gt;=2),F22&amp;".",""),IF(AND($A$5&gt;=3,$C22&gt;=3),G22&amp;".",""),IF(AND($A$5&gt;=4,$C22&gt;=4),H22&amp;".",""),IF($C22="S",I22&amp;".","")))</f>
        <v>1.3.</v>
      </c>
      <c r="P22" s="143" t="s">
        <v>249</v>
      </c>
      <c r="Q22" s="144"/>
      <c r="R22" s="145" t="s">
        <v>452</v>
      </c>
      <c r="S22" s="146" t="str">
        <f t="shared" ca="1" si="13"/>
        <v>-</v>
      </c>
      <c r="T22" s="147">
        <f ca="1">OFFSET(CÁLCULO!H$15,ROW($T22)-ROW(T$15),0)</f>
        <v>0</v>
      </c>
      <c r="U22" s="148"/>
      <c r="V22" s="149" t="s">
        <v>158</v>
      </c>
      <c r="W22" s="147">
        <f ca="1">IF($C22="S",ROUND(IF(TIPOORCAMENTO="Proposto",ORÇAMENTO.CustoUnitario*(1+$AH22),ORÇAMENTO.PrecoUnitarioLicitado),15-13*$AF$10),0)</f>
        <v>0</v>
      </c>
      <c r="X22" s="150">
        <f ca="1">IF($C22="S",VTOTAL1,IF($C22=0,0,ROUND(SomaAgrup,15-13*$AF$11)))</f>
        <v>336383.73</v>
      </c>
      <c r="Y22" s="151" t="s">
        <v>247</v>
      </c>
      <c r="Z22" t="str">
        <f ca="1">IF(AND($C22="S",$X22&gt;0),IF(ISBLANK($Y22),"RA",LEFT($Y22,2)),"")</f>
        <v/>
      </c>
      <c r="AA22" s="152">
        <f ca="1">IF($C22="S",IF($Z22="CP",$X22,IF($Z22="RA",(($X22)*QCI!$AA$3),0)),SomaAgrup)</f>
        <v>13454.392679887669</v>
      </c>
      <c r="AB22" s="153">
        <f ca="1">IF($C22="S",IF($Z22="OU",ROUND($X22,2),0),SomaAgrup)</f>
        <v>0</v>
      </c>
      <c r="AC22" s="154" t="str">
        <f ca="1">IF($N22="","",IF(ORÇAMENTO.Descricao="","DESCRIÇÃO",IF(AND($C22="S",ORÇAMENTO.Unidade=""),"UNIDADE",IF($X22&lt;0,"VALOR NEGATIVO",IF(OR(AND(TIPOORCAMENTO="Proposto",$AG22&lt;&gt;"",$AG22&gt;0,ORÇAMENTO.CustoUnitario&gt;$AG22),AND(TIPOORCAMENTO="LICITADO",ORÇAMENTO.PrecoUnitarioLicitado&gt;$AN22)),"ACIMA REF.","")))))</f>
        <v/>
      </c>
      <c r="AD22" s="100">
        <f ca="1">IF(C22&lt;=CRONO.NivelExibicao,MAX($AD$15:OFFSET(AD22,-1,0))+IF($C22&lt;&gt;1,1,MAX(1,COUNTIF(QCI!$A$13:$A$23,OFFSET($E22,-1,0)))),"")</f>
        <v>4</v>
      </c>
      <c r="AE22" s="110" t="b">
        <f ca="1">IF(AND($C22="S",ORÇAMENTO.CodBarra&lt;&gt;""),IF(ORÇAMENTO.Fonte="",ORÇAMENTO.CodBarra,CONCATENATE(ORÇAMENTO.Fonte," ",ORÇAMENTO.CodBarra)))</f>
        <v>0</v>
      </c>
      <c r="AF22" s="155" t="str">
        <f ca="1">IF(ISERROR(INDIRECT(ORÇAMENTO.BancoRef)),"(abra o arquivo 'Referência "&amp;Excel_BuiltIn_Database&amp;".xls)",IF(OR($C22&lt;&gt;"S",ORÇAMENTO.CodBarra=""),"(Sem Código)",IF(ISERROR(MATCH($AE22,INDIRECT(ORÇAMENTO.BancoRef),0)),"(Código não identificado nas referências)",MATCH($AE22,INDIRECT(ORÇAMENTO.BancoRef),0))))</f>
        <v>(abra o arquivo 'Referência 11-2023.xls)</v>
      </c>
      <c r="AG22" s="575">
        <f ca="1">ROUND(IF(DESONERACAO="sim",REFERENCIA.Desonerado,REFERENCIA.NaoDesonerado),2)</f>
        <v>0</v>
      </c>
      <c r="AH22" s="576">
        <f ca="1">ROUND(IF(ISNUMBER(ORÇAMENTO.OpcaoBDI),ORÇAMENTO.OpcaoBDI,IF(LEFT(ORÇAMENTO.OpcaoBDI,3)="BDI",HLOOKUP(ORÇAMENTO.OpcaoBDI,$F$4:$H$5,2,FALSE),0)),15-11*$AF$9)</f>
        <v>0.20730000000000001</v>
      </c>
      <c r="AJ22" s="578"/>
      <c r="AL22" s="608"/>
      <c r="AM22" s="426">
        <f t="shared" ca="1" si="0"/>
        <v>336383.73</v>
      </c>
      <c r="AN22" s="651">
        <f ca="1">ROUND(ORÇAMENTO.CustoUnitario*(1+$AH22),2)</f>
        <v>0</v>
      </c>
    </row>
    <row r="23" spans="1:40" ht="25.5" x14ac:dyDescent="0.2">
      <c r="A23" t="str">
        <f>CHOOSE(1+LOG(1+2*(ORÇAMENTO.Nivel="Meta")+4*(ORÇAMENTO.Nivel="Nível 2")+8*(ORÇAMENTO.Nivel="Nível 3")+16*(ORÇAMENTO.Nivel="Nível 4")+32*(ORÇAMENTO.Nivel="Serviço"),2),0,1,2,3,4,"S")</f>
        <v>S</v>
      </c>
      <c r="B23">
        <f ca="1">IF(OR(C23="s",C23=0),OFFSET(B23,-1,0),C23)</f>
        <v>2</v>
      </c>
      <c r="C23" t="str">
        <f ca="1">IF(OFFSET(C23,-1,0)="L",1,IF(OFFSET(C23,-1,0)=1,2,IF(OR(A23="s",A23=0),"S",IF(AND(OFFSET(C23,-1,0)=2,A23=4),3,IF(AND(OR(OFFSET(C23,-1,0)="s",OFFSET(C23,-1,0)=0),A23&lt;&gt;"s",A23&gt;OFFSET(B23,-1,0)),OFFSET(B23,-1,0),A23)))))</f>
        <v>S</v>
      </c>
      <c r="D23">
        <f ca="1">IF(OR(C23="S",C23=0),0,IF(ISERROR(K23),J23,SMALL(J23:K23,1)))</f>
        <v>0</v>
      </c>
      <c r="E23">
        <f ca="1">IF($C23=1,OFFSET(E23,-1,0)+MAX(1,COUNTIF(QCI!$A$13:$A$23,OFFSET(ORÇAMENTO!E23,-1,0))),OFFSET(E23,-1,0))</f>
        <v>1</v>
      </c>
      <c r="F23">
        <f ca="1">IF($C23=1,0,IF($C23=2,OFFSET(F23,-1,0)+1,OFFSET(F23,-1,0)))</f>
        <v>3</v>
      </c>
      <c r="G23">
        <f ca="1">IF(AND($C23&lt;=2,$C23&lt;&gt;0),0,IF($C23=3,OFFSET(G23,-1,0)+1,OFFSET(G23,-1,0)))</f>
        <v>0</v>
      </c>
      <c r="H23">
        <f ca="1">IF(AND($C23&lt;=3,$C23&lt;&gt;0),0,IF($C23=4,OFFSET(H23,-1,0)+1,OFFSET(H23,-1,0)))</f>
        <v>0</v>
      </c>
      <c r="I23">
        <f ca="1">IF(AND($C23&lt;=4,$C23&lt;&gt;0),0,IF(AND($C23="S",$X23&gt;0),OFFSET(I23,-1,0)+1,OFFSET(I23,-1,0)))</f>
        <v>1</v>
      </c>
      <c r="J23">
        <f t="shared" ca="1" si="9"/>
        <v>0</v>
      </c>
      <c r="K23">
        <f ca="1">IF(OR($C23="S",$C23=0),0,MATCH(OFFSET($D23,0,$C23)+IF($C23&lt;&gt;1,1,COUNTIF(QCI!$A$13:$A$23,ORÇAMENTO!E23)),OFFSET($D23,1,$C23,ROW($C$33)-ROW($C23)),0))</f>
        <v>0</v>
      </c>
      <c r="L23" s="139" t="str">
        <f ca="1">IF(OR($X23&gt;0,$C23=1,$C23=2,$C23=3,$C23=4),"F","")</f>
        <v>F</v>
      </c>
      <c r="M23" s="140" t="s">
        <v>201</v>
      </c>
      <c r="N23" s="141" t="str">
        <f ca="1">CHOOSE(1+LOG(1+2*(C23=1)+4*(C23=2)+8*(C23=3)+16*(C23=4)+32*(C23="S"),2),"","Meta","Nível 2","Nível 3","Nível 4","Serviço")</f>
        <v>Serviço</v>
      </c>
      <c r="O23" s="142" t="str">
        <f ca="1">IF(OR($C23=0,$L23=""),"-",CONCATENATE(E23&amp;".",IF(AND($A$5&gt;=2,$C23&gt;=2),F23&amp;".",""),IF(AND($A$5&gt;=3,$C23&gt;=3),G23&amp;".",""),IF(AND($A$5&gt;=4,$C23&gt;=4),H23&amp;".",""),IF($C23="S",I23&amp;".","")))</f>
        <v>1.3.1.</v>
      </c>
      <c r="P23" s="143" t="s">
        <v>249</v>
      </c>
      <c r="Q23" s="144" t="s">
        <v>454</v>
      </c>
      <c r="R23" s="145" t="str">
        <f ca="1">IF($C23="S",REFERENCIA.Descricao,"(digite a descrição aqui)")</f>
        <v>(abra o arquivo 'Referência 11-2023.xls)</v>
      </c>
      <c r="S23" s="146" t="str">
        <f t="shared" ca="1" si="13"/>
        <v>-</v>
      </c>
      <c r="T23" s="147">
        <f ca="1">OFFSET(CÁLCULO!H$15,ROW($T23)-ROW(T$15),0)</f>
        <v>3528.0200000000004</v>
      </c>
      <c r="U23" s="148">
        <f>332092.52/3528.02/1.2073</f>
        <v>77.967364584645679</v>
      </c>
      <c r="V23" s="149" t="s">
        <v>158</v>
      </c>
      <c r="W23" s="147">
        <f ca="1">IF($C23="S",ROUND(IF(TIPOORCAMENTO="Proposto",ORÇAMENTO.CustoUnitario*(1+$AH23),ORÇAMENTO.PrecoUnitarioLicitado),15-13*$AF$10),0)</f>
        <v>94.129999263042706</v>
      </c>
      <c r="X23" s="150">
        <f ca="1">IF($C23="S",VTOTAL1,IF($C23=0,0,ROUND(SomaAgrup,15-13*$AF$11)))</f>
        <v>332092.52</v>
      </c>
      <c r="Y23" s="151" t="s">
        <v>247</v>
      </c>
      <c r="Z23" t="str">
        <f ca="1">IF(AND($C23="S",$X23&gt;0),IF(ISBLANK($Y23),"RA",LEFT($Y23,2)),"")</f>
        <v>RA</v>
      </c>
      <c r="AA23" s="152">
        <f ca="1">IF($C23="S",IF($Z23="CP",$X23,IF($Z23="RA",(($X23)*QCI!$AA$3),0)),SomaAgrup)</f>
        <v>13282.75648210884</v>
      </c>
      <c r="AB23" s="153">
        <f ca="1">IF($C23="S",IF($Z23="OU",ROUND($X23,2),0),SomaAgrup)</f>
        <v>0</v>
      </c>
      <c r="AC23" s="154" t="str">
        <f ca="1">IF($N23="","",IF(ORÇAMENTO.Descricao="","DESCRIÇÃO",IF(AND($C23="S",ORÇAMENTO.Unidade=""),"UNIDADE",IF($X23&lt;0,"VALOR NEGATIVO",IF(OR(AND(TIPOORCAMENTO="Proposto",$AG23&lt;&gt;"",$AG23&gt;0,ORÇAMENTO.CustoUnitario&gt;$AG23),AND(TIPOORCAMENTO="LICITADO",ORÇAMENTO.PrecoUnitarioLicitado&gt;$AN23)),"ACIMA REF.","")))))</f>
        <v/>
      </c>
      <c r="AD23" s="100" t="str">
        <f ca="1">IF(C23&lt;=CRONO.NivelExibicao,MAX($AD$15:OFFSET(AD23,-1,0))+IF($C23&lt;&gt;1,1,MAX(1,COUNTIF(QCI!$A$13:$A$23,OFFSET($E23,-1,0)))),"")</f>
        <v/>
      </c>
      <c r="AE23" s="110" t="str">
        <f ca="1">IF(AND($C23="S",ORÇAMENTO.CodBarra&lt;&gt;""),IF(ORÇAMENTO.Fonte="",ORÇAMENTO.CodBarra,CONCATENATE(ORÇAMENTO.Fonte," ",ORÇAMENTO.CodBarra)))</f>
        <v>SINAPI 92394</v>
      </c>
      <c r="AF23" s="155" t="str">
        <f ca="1">IF(ISERROR(INDIRECT(ORÇAMENTO.BancoRef)),"(abra o arquivo 'Referência "&amp;Excel_BuiltIn_Database&amp;".xls)",IF(OR($C23&lt;&gt;"S",ORÇAMENTO.CodBarra=""),"(Sem Código)",IF(ISERROR(MATCH($AE23,INDIRECT(ORÇAMENTO.BancoRef),0)),"(Código não identificado nas referências)",MATCH($AE23,INDIRECT(ORÇAMENTO.BancoRef),0))))</f>
        <v>(abra o arquivo 'Referência 11-2023.xls)</v>
      </c>
      <c r="AG23" s="575">
        <f ca="1">ROUND(IF(DESONERACAO="sim",REFERENCIA.Desonerado,REFERENCIA.NaoDesonerado),2)</f>
        <v>0</v>
      </c>
      <c r="AH23" s="576">
        <f ca="1">ROUND(IF(ISNUMBER(ORÇAMENTO.OpcaoBDI),ORÇAMENTO.OpcaoBDI,IF(LEFT(ORÇAMENTO.OpcaoBDI,3)="BDI",HLOOKUP(ORÇAMENTO.OpcaoBDI,$F$4:$H$5,2,FALSE),0)),15-11*$AF$9)</f>
        <v>0.20730000000000001</v>
      </c>
      <c r="AJ23" s="578"/>
      <c r="AL23" s="608"/>
      <c r="AM23" s="426">
        <f t="shared" ca="1" si="0"/>
        <v>332092.52</v>
      </c>
      <c r="AN23" s="651">
        <f ca="1">ROUND(ORÇAMENTO.CustoUnitario*(1+$AH23),2)</f>
        <v>94.13</v>
      </c>
    </row>
    <row r="24" spans="1:40" x14ac:dyDescent="0.2">
      <c r="A24" t="str">
        <f t="shared" si="1"/>
        <v>S</v>
      </c>
      <c r="B24">
        <f t="shared" ca="1" si="2"/>
        <v>2</v>
      </c>
      <c r="C24" t="str">
        <f t="shared" ca="1" si="3"/>
        <v>S</v>
      </c>
      <c r="D24">
        <f t="shared" ca="1" si="4"/>
        <v>0</v>
      </c>
      <c r="E24">
        <f ca="1">IF($C24=1,OFFSET(E24,-1,0)+MAX(1,COUNTIF(QCI!$A$13:$A$23,OFFSET(ORÇAMENTO!E24,-1,0))),OFFSET(E24,-1,0))</f>
        <v>1</v>
      </c>
      <c r="F24">
        <f t="shared" ca="1" si="5"/>
        <v>3</v>
      </c>
      <c r="G24">
        <f t="shared" ca="1" si="6"/>
        <v>0</v>
      </c>
      <c r="H24">
        <f t="shared" ca="1" si="7"/>
        <v>0</v>
      </c>
      <c r="I24">
        <f t="shared" ca="1" si="8"/>
        <v>2</v>
      </c>
      <c r="J24">
        <f t="shared" ca="1" si="9"/>
        <v>0</v>
      </c>
      <c r="K24">
        <f ca="1">IF(OR($C24="S",$C24=0),0,MATCH(OFFSET($D24,0,$C24)+IF($C24&lt;&gt;1,1,COUNTIF(QCI!$A$13:$A$23,ORÇAMENTO!E24)),OFFSET($D24,1,$C24,ROW($C$33)-ROW($C24)),0))</f>
        <v>0</v>
      </c>
      <c r="L24" s="139" t="str">
        <f t="shared" ca="1" si="10"/>
        <v>F</v>
      </c>
      <c r="M24" s="140" t="s">
        <v>201</v>
      </c>
      <c r="N24" s="141" t="str">
        <f t="shared" ca="1" si="11"/>
        <v>Serviço</v>
      </c>
      <c r="O24" s="142" t="str">
        <f t="shared" ca="1" si="12"/>
        <v>1.3.2.</v>
      </c>
      <c r="P24" s="143" t="s">
        <v>470</v>
      </c>
      <c r="Q24" s="144" t="s">
        <v>476</v>
      </c>
      <c r="R24" s="145" t="s">
        <v>477</v>
      </c>
      <c r="S24" s="146" t="s">
        <v>494</v>
      </c>
      <c r="T24" s="147">
        <f ca="1">OFFSET(CÁLCULO!H$15,ROW($T24)-ROW(T$15),0)</f>
        <v>2959.46</v>
      </c>
      <c r="U24" s="148">
        <f>4291.21/2959.46/1.2073</f>
        <v>1.2010251260694345</v>
      </c>
      <c r="V24" s="149" t="s">
        <v>158</v>
      </c>
      <c r="W24" s="147">
        <f t="shared" ca="1" si="14"/>
        <v>1.4499976347036201</v>
      </c>
      <c r="X24" s="150">
        <f t="shared" ca="1" si="15"/>
        <v>4291.20999999998</v>
      </c>
      <c r="Y24" s="151" t="s">
        <v>247</v>
      </c>
      <c r="Z24" t="str">
        <f t="shared" ca="1" si="16"/>
        <v>RA</v>
      </c>
      <c r="AA24" s="152">
        <f ca="1">IF($C24="S",IF($Z24="CP",$X24,IF($Z24="RA",(($X24)*QCI!$AA$3),0)),SomaAgrup)</f>
        <v>171.63619777882985</v>
      </c>
      <c r="AB24" s="153">
        <f t="shared" ca="1" si="17"/>
        <v>0</v>
      </c>
      <c r="AC24" s="154" t="str">
        <f t="shared" ca="1" si="18"/>
        <v/>
      </c>
      <c r="AD24" s="100" t="str">
        <f ca="1">IF(C24&lt;=CRONO.NivelExibicao,MAX($AD$15:OFFSET(AD24,-1,0))+IF($C24&lt;&gt;1,1,MAX(1,COUNTIF(QCI!$A$13:$A$23,OFFSET($E24,-1,0)))),"")</f>
        <v/>
      </c>
      <c r="AE24" s="110" t="str">
        <f t="shared" ca="1" si="19"/>
        <v>SICRO 5914359</v>
      </c>
      <c r="AF24" s="155" t="str">
        <f t="shared" ca="1" si="20"/>
        <v>(abra o arquivo 'Referência 11-2023.xls)</v>
      </c>
      <c r="AG24" s="575">
        <f t="shared" ca="1" si="21"/>
        <v>0</v>
      </c>
      <c r="AH24" s="576">
        <f t="shared" ca="1" si="22"/>
        <v>0.20730000000000001</v>
      </c>
      <c r="AJ24" s="578"/>
      <c r="AL24" s="608"/>
      <c r="AM24" s="426">
        <f t="shared" ca="1" si="0"/>
        <v>4291.20999999998</v>
      </c>
      <c r="AN24" s="651">
        <f t="shared" ca="1" si="23"/>
        <v>1.45</v>
      </c>
    </row>
    <row r="25" spans="1:40" x14ac:dyDescent="0.2">
      <c r="A25">
        <f>CHOOSE(1+LOG(1+2*(ORÇAMENTO.Nivel="Meta")+4*(ORÇAMENTO.Nivel="Nível 2")+8*(ORÇAMENTO.Nivel="Nível 3")+16*(ORÇAMENTO.Nivel="Nível 4")+32*(ORÇAMENTO.Nivel="Serviço"),2),0,1,2,3,4,"S")</f>
        <v>2</v>
      </c>
      <c r="B25">
        <f ca="1">IF(OR(C25="s",C25=0),OFFSET(B25,-1,0),C25)</f>
        <v>2</v>
      </c>
      <c r="C25">
        <f ca="1">IF(OFFSET(C25,-1,0)="L",1,IF(OFFSET(C25,-1,0)=1,2,IF(OR(A25="s",A25=0),"S",IF(AND(OFFSET(C25,-1,0)=2,A25=4),3,IF(AND(OR(OFFSET(C25,-1,0)="s",OFFSET(C25,-1,0)=0),A25&lt;&gt;"s",A25&gt;OFFSET(B25,-1,0)),OFFSET(B25,-1,0),A25)))))</f>
        <v>2</v>
      </c>
      <c r="D25">
        <f ca="1">IF(OR(C25="S",C25=0),0,IF(ISERROR(K25),J25,SMALL(J25:K25,1)))</f>
        <v>3</v>
      </c>
      <c r="E25">
        <f ca="1">IF($C25=1,OFFSET(E25,-1,0)+MAX(1,COUNTIF(QCI!$A$13:$A$23,OFFSET(ORÇAMENTO!E25,-1,0))),OFFSET(E25,-1,0))</f>
        <v>1</v>
      </c>
      <c r="F25">
        <f ca="1">IF($C25=1,0,IF($C25=2,OFFSET(F25,-1,0)+1,OFFSET(F25,-1,0)))</f>
        <v>4</v>
      </c>
      <c r="G25">
        <f ca="1">IF(AND($C25&lt;=2,$C25&lt;&gt;0),0,IF($C25=3,OFFSET(G25,-1,0)+1,OFFSET(G25,-1,0)))</f>
        <v>0</v>
      </c>
      <c r="H25">
        <f ca="1">IF(AND($C25&lt;=3,$C25&lt;&gt;0),0,IF($C25=4,OFFSET(H25,-1,0)+1,OFFSET(H25,-1,0)))</f>
        <v>0</v>
      </c>
      <c r="I25">
        <f ca="1">IF(AND($C25&lt;=4,$C25&lt;&gt;0),0,IF(AND($C25="S",$X25&gt;0),OFFSET(I25,-1,0)+1,OFFSET(I25,-1,0)))</f>
        <v>0</v>
      </c>
      <c r="J25">
        <f t="shared" ca="1" si="9"/>
        <v>8</v>
      </c>
      <c r="K25">
        <f ca="1">IF(OR($C25="S",$C25=0),0,MATCH(OFFSET($D25,0,$C25)+IF($C25&lt;&gt;1,1,COUNTIF(QCI!$A$13:$A$23,ORÇAMENTO!E25)),OFFSET($D25,1,$C25,ROW($C$33)-ROW($C25)),0))</f>
        <v>3</v>
      </c>
      <c r="L25" s="139" t="str">
        <f ca="1">IF(OR($X25&gt;0,$C25=1,$C25=2,$C25=3,$C25=4),"F","")</f>
        <v>F</v>
      </c>
      <c r="M25" s="140" t="s">
        <v>198</v>
      </c>
      <c r="N25" s="141" t="str">
        <f ca="1">CHOOSE(1+LOG(1+2*(C25=1)+4*(C25=2)+8*(C25=3)+16*(C25=4)+32*(C25="S"),2),"","Meta","Nível 2","Nível 3","Nível 4","Serviço")</f>
        <v>Nível 2</v>
      </c>
      <c r="O25" s="142" t="str">
        <f ca="1">IF(OR($C25=0,$L25=""),"-",CONCATENATE(E25&amp;".",IF(AND($A$5&gt;=2,$C25&gt;=2),F25&amp;".",""),IF(AND($A$5&gt;=3,$C25&gt;=3),G25&amp;".",""),IF(AND($A$5&gt;=4,$C25&gt;=4),H25&amp;".",""),IF($C25="S",I25&amp;".","")))</f>
        <v>1.4.</v>
      </c>
      <c r="P25" s="143" t="s">
        <v>249</v>
      </c>
      <c r="Q25" s="144"/>
      <c r="R25" s="659" t="s">
        <v>453</v>
      </c>
      <c r="S25" s="146" t="str">
        <f t="shared" ca="1" si="13"/>
        <v>-</v>
      </c>
      <c r="T25" s="147">
        <f ca="1">OFFSET(CÁLCULO!H$15,ROW($T25)-ROW(T$15),0)</f>
        <v>0</v>
      </c>
      <c r="U25" s="148"/>
      <c r="V25" s="149" t="s">
        <v>158</v>
      </c>
      <c r="W25" s="147">
        <f ca="1">IF($C25="S",ROUND(IF(TIPOORCAMENTO="Proposto",ORÇAMENTO.CustoUnitario*(1+$AH25),ORÇAMENTO.PrecoUnitarioLicitado),15-13*$AF$10),0)</f>
        <v>0</v>
      </c>
      <c r="X25" s="150">
        <f ca="1">IF($C25="S",VTOTAL1,IF($C25=0,0,ROUND(SomaAgrup,15-13*$AF$11)))</f>
        <v>140497.71</v>
      </c>
      <c r="Y25" s="151" t="s">
        <v>247</v>
      </c>
      <c r="Z25" t="str">
        <f ca="1">IF(AND($C25="S",$X25&gt;0),IF(ISBLANK($Y25),"RA",LEFT($Y25,2)),"")</f>
        <v/>
      </c>
      <c r="AA25" s="152">
        <f ca="1">IF($C25="S",IF($Z25="CP",$X25,IF($Z25="RA",(($X25)*QCI!$AA$3),0)),SomaAgrup)</f>
        <v>5619.5088893418861</v>
      </c>
      <c r="AB25" s="153">
        <f ca="1">IF($C25="S",IF($Z25="OU",ROUND($X25,2),0),SomaAgrup)</f>
        <v>0</v>
      </c>
      <c r="AC25" s="154" t="str">
        <f ca="1">IF($N25="","",IF(ORÇAMENTO.Descricao="","DESCRIÇÃO",IF(AND($C25="S",ORÇAMENTO.Unidade=""),"UNIDADE",IF($X25&lt;0,"VALOR NEGATIVO",IF(OR(AND(TIPOORCAMENTO="Proposto",$AG25&lt;&gt;"",$AG25&gt;0,ORÇAMENTO.CustoUnitario&gt;$AG25),AND(TIPOORCAMENTO="LICITADO",ORÇAMENTO.PrecoUnitarioLicitado&gt;$AN25)),"ACIMA REF.","")))))</f>
        <v/>
      </c>
      <c r="AD25" s="100">
        <f ca="1">IF(C25&lt;=CRONO.NivelExibicao,MAX($AD$15:OFFSET(AD25,-1,0))+IF($C25&lt;&gt;1,1,MAX(1,COUNTIF(QCI!$A$13:$A$23,OFFSET($E25,-1,0)))),"")</f>
        <v>5</v>
      </c>
      <c r="AE25" s="110" t="b">
        <f ca="1">IF(AND($C25="S",ORÇAMENTO.CodBarra&lt;&gt;""),IF(ORÇAMENTO.Fonte="",ORÇAMENTO.CodBarra,CONCATENATE(ORÇAMENTO.Fonte," ",ORÇAMENTO.CodBarra)))</f>
        <v>0</v>
      </c>
      <c r="AF25" s="155" t="str">
        <f ca="1">IF(ISERROR(INDIRECT(ORÇAMENTO.BancoRef)),"(abra o arquivo 'Referência "&amp;Excel_BuiltIn_Database&amp;".xls)",IF(OR($C25&lt;&gt;"S",ORÇAMENTO.CodBarra=""),"(Sem Código)",IF(ISERROR(MATCH($AE25,INDIRECT(ORÇAMENTO.BancoRef),0)),"(Código não identificado nas referências)",MATCH($AE25,INDIRECT(ORÇAMENTO.BancoRef),0))))</f>
        <v>(abra o arquivo 'Referência 11-2023.xls)</v>
      </c>
      <c r="AG25" s="575">
        <f ca="1">ROUND(IF(DESONERACAO="sim",REFERENCIA.Desonerado,REFERENCIA.NaoDesonerado),2)</f>
        <v>0</v>
      </c>
      <c r="AH25" s="576">
        <f ca="1">ROUND(IF(ISNUMBER(ORÇAMENTO.OpcaoBDI),ORÇAMENTO.OpcaoBDI,IF(LEFT(ORÇAMENTO.OpcaoBDI,3)="BDI",HLOOKUP(ORÇAMENTO.OpcaoBDI,$F$4:$H$5,2,FALSE),0)),15-11*$AF$9)</f>
        <v>0.20730000000000001</v>
      </c>
      <c r="AJ25" s="578"/>
      <c r="AL25" s="608"/>
      <c r="AM25" s="426">
        <f t="shared" ca="1" si="0"/>
        <v>140497.71</v>
      </c>
      <c r="AN25" s="651">
        <f ca="1">ROUND(ORÇAMENTO.CustoUnitario*(1+$AH25),2)</f>
        <v>0</v>
      </c>
    </row>
    <row r="26" spans="1:40" ht="25.5" x14ac:dyDescent="0.2">
      <c r="A26" t="str">
        <f t="shared" si="1"/>
        <v>S</v>
      </c>
      <c r="B26">
        <f t="shared" ca="1" si="2"/>
        <v>2</v>
      </c>
      <c r="C26" t="str">
        <f t="shared" ca="1" si="3"/>
        <v>S</v>
      </c>
      <c r="D26">
        <f t="shared" ca="1" si="4"/>
        <v>0</v>
      </c>
      <c r="E26">
        <f ca="1">IF($C26=1,OFFSET(E26,-1,0)+MAX(1,COUNTIF(QCI!$A$13:$A$23,OFFSET(ORÇAMENTO!E26,-1,0))),OFFSET(E26,-1,0))</f>
        <v>1</v>
      </c>
      <c r="F26">
        <f t="shared" ca="1" si="5"/>
        <v>4</v>
      </c>
      <c r="G26">
        <f t="shared" ca="1" si="6"/>
        <v>0</v>
      </c>
      <c r="H26">
        <f t="shared" ca="1" si="7"/>
        <v>0</v>
      </c>
      <c r="I26">
        <f t="shared" ca="1" si="8"/>
        <v>1</v>
      </c>
      <c r="J26">
        <f t="shared" ca="1" si="9"/>
        <v>0</v>
      </c>
      <c r="K26">
        <f ca="1">IF(OR($C26="S",$C26=0),0,MATCH(OFFSET($D26,0,$C26)+IF($C26&lt;&gt;1,1,COUNTIF(QCI!$A$13:$A$23,ORÇAMENTO!E26)),OFFSET($D26,1,$C26,ROW($C$33)-ROW($C26)),0))</f>
        <v>0</v>
      </c>
      <c r="L26" s="139" t="str">
        <f t="shared" ca="1" si="10"/>
        <v>F</v>
      </c>
      <c r="M26" s="140" t="s">
        <v>201</v>
      </c>
      <c r="N26" s="141" t="str">
        <f t="shared" ca="1" si="11"/>
        <v>Serviço</v>
      </c>
      <c r="O26" s="142" t="str">
        <f t="shared" ca="1" si="12"/>
        <v>1.4.1.</v>
      </c>
      <c r="P26" s="143" t="s">
        <v>249</v>
      </c>
      <c r="Q26" s="658" t="s">
        <v>446</v>
      </c>
      <c r="R26" s="145" t="str">
        <f ca="1">IF($C26="S",REFERENCIA.Descricao,"(digite a descrição aqui)")</f>
        <v>(abra o arquivo 'Referência 11-2023.xls)</v>
      </c>
      <c r="S26" s="146" t="str">
        <f t="shared" ca="1" si="13"/>
        <v>-</v>
      </c>
      <c r="T26" s="147">
        <f ca="1">OFFSET(CÁLCULO!H$15,ROW($T26)-ROW(T$15),0)</f>
        <v>889.96999999999991</v>
      </c>
      <c r="U26" s="148">
        <f>50123.1/889.97/1.2073</f>
        <v>46.649538900201136</v>
      </c>
      <c r="V26" s="149" t="s">
        <v>158</v>
      </c>
      <c r="W26" s="147">
        <f t="shared" ca="1" si="14"/>
        <v>56.3199883142128</v>
      </c>
      <c r="X26" s="150">
        <f t="shared" ca="1" si="15"/>
        <v>50123.1</v>
      </c>
      <c r="Y26" s="151" t="s">
        <v>247</v>
      </c>
      <c r="Z26" t="str">
        <f t="shared" ca="1" si="16"/>
        <v>RA</v>
      </c>
      <c r="AA26" s="152">
        <f ca="1">IF($C26="S",IF($Z26="CP",$X26,IF($Z26="RA",(($X26)*QCI!$AA$3),0)),SomaAgrup)</f>
        <v>2004.7814730316406</v>
      </c>
      <c r="AB26" s="153">
        <f t="shared" ca="1" si="17"/>
        <v>0</v>
      </c>
      <c r="AC26" s="154" t="str">
        <f t="shared" ca="1" si="18"/>
        <v/>
      </c>
      <c r="AD26" s="100" t="str">
        <f ca="1">IF(C26&lt;=CRONO.NivelExibicao,MAX($AD$15:OFFSET(AD26,-1,0))+IF($C26&lt;&gt;1,1,MAX(1,COUNTIF(QCI!$A$13:$A$23,OFFSET($E26,-1,0)))),"")</f>
        <v/>
      </c>
      <c r="AE26" s="110" t="str">
        <f t="shared" ca="1" si="19"/>
        <v>SINAPI 94287</v>
      </c>
      <c r="AF26" s="155" t="str">
        <f t="shared" ca="1" si="20"/>
        <v>(abra o arquivo 'Referência 11-2023.xls)</v>
      </c>
      <c r="AG26" s="575">
        <f t="shared" ca="1" si="21"/>
        <v>0</v>
      </c>
      <c r="AH26" s="576">
        <f t="shared" ca="1" si="22"/>
        <v>0.20730000000000001</v>
      </c>
      <c r="AJ26" s="578"/>
      <c r="AL26" s="608">
        <v>25.68</v>
      </c>
      <c r="AM26" s="426">
        <f t="shared" ca="1" si="0"/>
        <v>50123.1</v>
      </c>
      <c r="AN26" s="651">
        <f t="shared" ca="1" si="23"/>
        <v>56.32</v>
      </c>
    </row>
    <row r="27" spans="1:40" ht="63.75" x14ac:dyDescent="0.2">
      <c r="A27" t="str">
        <f t="shared" ref="A27:A32" si="24">CHOOSE(1+LOG(1+2*(ORÇAMENTO.Nivel="Meta")+4*(ORÇAMENTO.Nivel="Nível 2")+8*(ORÇAMENTO.Nivel="Nível 3")+16*(ORÇAMENTO.Nivel="Nível 4")+32*(ORÇAMENTO.Nivel="Serviço"),2),0,1,2,3,4,"S")</f>
        <v>S</v>
      </c>
      <c r="B27">
        <f t="shared" ref="B27:B32" ca="1" si="25">IF(OR(C27="s",C27=0),OFFSET(B27,-1,0),C27)</f>
        <v>2</v>
      </c>
      <c r="C27" t="str">
        <f t="shared" ref="C27:C32" ca="1" si="26">IF(OFFSET(C27,-1,0)="L",1,IF(OFFSET(C27,-1,0)=1,2,IF(OR(A27="s",A27=0),"S",IF(AND(OFFSET(C27,-1,0)=2,A27=4),3,IF(AND(OR(OFFSET(C27,-1,0)="s",OFFSET(C27,-1,0)=0),A27&lt;&gt;"s",A27&gt;OFFSET(B27,-1,0)),OFFSET(B27,-1,0),A27)))))</f>
        <v>S</v>
      </c>
      <c r="D27">
        <f t="shared" ref="D27:D32" ca="1" si="27">IF(OR(C27="S",C27=0),0,IF(ISERROR(K27),J27,SMALL(J27:K27,1)))</f>
        <v>0</v>
      </c>
      <c r="E27">
        <f ca="1">IF($C27=1,OFFSET(E27,-1,0)+MAX(1,COUNTIF(QCI!$A$13:$A$23,OFFSET(ORÇAMENTO!E27,-1,0))),OFFSET(E27,-1,0))</f>
        <v>1</v>
      </c>
      <c r="F27">
        <f t="shared" ref="F27:F32" ca="1" si="28">IF($C27=1,0,IF($C27=2,OFFSET(F27,-1,0)+1,OFFSET(F27,-1,0)))</f>
        <v>4</v>
      </c>
      <c r="G27">
        <f t="shared" ref="G27:G32" ca="1" si="29">IF(AND($C27&lt;=2,$C27&lt;&gt;0),0,IF($C27=3,OFFSET(G27,-1,0)+1,OFFSET(G27,-1,0)))</f>
        <v>0</v>
      </c>
      <c r="H27">
        <f t="shared" ref="H27:H32" ca="1" si="30">IF(AND($C27&lt;=3,$C27&lt;&gt;0),0,IF($C27=4,OFFSET(H27,-1,0)+1,OFFSET(H27,-1,0)))</f>
        <v>0</v>
      </c>
      <c r="I27">
        <f t="shared" ref="I27:I32" ca="1" si="31">IF(AND($C27&lt;=4,$C27&lt;&gt;0),0,IF(AND($C27="S",$X27&gt;0),OFFSET(I27,-1,0)+1,OFFSET(I27,-1,0)))</f>
        <v>2</v>
      </c>
      <c r="J27">
        <f t="shared" ca="1" si="9"/>
        <v>0</v>
      </c>
      <c r="K27">
        <f ca="1">IF(OR($C27="S",$C27=0),0,MATCH(OFFSET($D27,0,$C27)+IF($C27&lt;&gt;1,1,COUNTIF(QCI!$A$13:$A$23,ORÇAMENTO!E27)),OFFSET($D27,1,$C27,ROW($C$33)-ROW($C27)),0))</f>
        <v>0</v>
      </c>
      <c r="L27" s="139" t="str">
        <f t="shared" ref="L27:L32" ca="1" si="32">IF(OR($X27&gt;0,$C27=1,$C27=2,$C27=3,$C27=4),"F","")</f>
        <v>F</v>
      </c>
      <c r="M27" s="140" t="s">
        <v>201</v>
      </c>
      <c r="N27" s="141" t="str">
        <f t="shared" ref="N27:N32" ca="1" si="33">CHOOSE(1+LOG(1+2*(C27=1)+4*(C27=2)+8*(C27=3)+16*(C27=4)+32*(C27="S"),2),"","Meta","Nível 2","Nível 3","Nível 4","Serviço")</f>
        <v>Serviço</v>
      </c>
      <c r="O27" s="142" t="str">
        <f t="shared" ref="O27:O32" ca="1" si="34">IF(OR($C27=0,$L27=""),"-",CONCATENATE(E27&amp;".",IF(AND($A$5&gt;=2,$C27&gt;=2),F27&amp;".",""),IF(AND($A$5&gt;=3,$C27&gt;=3),G27&amp;".",""),IF(AND($A$5&gt;=4,$C27&gt;=4),H27&amp;".",""),IF($C27="S",I27&amp;".","")))</f>
        <v>1.4.2.</v>
      </c>
      <c r="P27" s="143" t="s">
        <v>249</v>
      </c>
      <c r="Q27" s="144" t="s">
        <v>449</v>
      </c>
      <c r="R27" s="145" t="str">
        <f ca="1">IF($C27="S",REFERENCIA.Descricao,"(digite a descrição aqui)")</f>
        <v>(abra o arquivo 'Referência 11-2023.xls)</v>
      </c>
      <c r="S27" s="146" t="str">
        <f t="shared" ca="1" si="13"/>
        <v>-</v>
      </c>
      <c r="T27" s="147">
        <f ca="1">OFFSET(CÁLCULO!H$15,ROW($T27)-ROW(T$15),0)</f>
        <v>966.16</v>
      </c>
      <c r="U27" s="148">
        <f>90374.61/966.16/1.2073</f>
        <v>77.478674501856133</v>
      </c>
      <c r="V27" s="149" t="s">
        <v>158</v>
      </c>
      <c r="W27" s="147">
        <f t="shared" ref="W27:W32" ca="1" si="35">IF($C27="S",ROUND(IF(TIPOORCAMENTO="Proposto",ORÇAMENTO.CustoUnitario*(1+$AH27),ORÇAMENTO.PrecoUnitarioLicitado),15-13*$AF$10),0)</f>
        <v>93.540003726090902</v>
      </c>
      <c r="X27" s="150">
        <f t="shared" ref="X27:X32" ca="1" si="36">IF($C27="S",VTOTAL1,IF($C27=0,0,ROUND(SomaAgrup,15-13*$AF$11)))</f>
        <v>90374.61</v>
      </c>
      <c r="Y27" s="151" t="s">
        <v>247</v>
      </c>
      <c r="Z27" t="str">
        <f t="shared" ref="Z27:Z32" ca="1" si="37">IF(AND($C27="S",$X27&gt;0),IF(ISBLANK($Y27),"RA",LEFT($Y27,2)),"")</f>
        <v>RA</v>
      </c>
      <c r="AA27" s="152">
        <f ca="1">IF($C27="S",IF($Z27="CP",$X27,IF($Z27="RA",(($X27)*QCI!$AA$3),0)),SomaAgrup)</f>
        <v>3614.7274163102452</v>
      </c>
      <c r="AB27" s="153">
        <f t="shared" ref="AB27:AB32" ca="1" si="38">IF($C27="S",IF($Z27="OU",ROUND($X27,2),0),SomaAgrup)</f>
        <v>0</v>
      </c>
      <c r="AC27" s="154" t="str">
        <f t="shared" ref="AC27:AC32" ca="1" si="39">IF($N27="","",IF(ORÇAMENTO.Descricao="","DESCRIÇÃO",IF(AND($C27="S",ORÇAMENTO.Unidade=""),"UNIDADE",IF($X27&lt;0,"VALOR NEGATIVO",IF(OR(AND(TIPOORCAMENTO="Proposto",$AG27&lt;&gt;"",$AG27&gt;0,ORÇAMENTO.CustoUnitario&gt;$AG27),AND(TIPOORCAMENTO="LICITADO",ORÇAMENTO.PrecoUnitarioLicitado&gt;$AN27)),"ACIMA REF.","")))))</f>
        <v/>
      </c>
      <c r="AD27" s="100" t="str">
        <f ca="1">IF(C27&lt;=CRONO.NivelExibicao,MAX($AD$15:OFFSET(AD27,-1,0))+IF($C27&lt;&gt;1,1,MAX(1,COUNTIF(QCI!$A$13:$A$23,OFFSET($E27,-1,0)))),"")</f>
        <v/>
      </c>
      <c r="AE27" s="110" t="str">
        <f t="shared" ref="AE27:AE32" ca="1" si="40">IF(AND($C27="S",ORÇAMENTO.CodBarra&lt;&gt;""),IF(ORÇAMENTO.Fonte="",ORÇAMENTO.CodBarra,CONCATENATE(ORÇAMENTO.Fonte," ",ORÇAMENTO.CodBarra)))</f>
        <v>SINAPI 94273</v>
      </c>
      <c r="AF27" s="155" t="str">
        <f t="shared" ref="AF27:AF32" ca="1" si="41">IF(ISERROR(INDIRECT(ORÇAMENTO.BancoRef)),"(abra o arquivo 'Referência "&amp;Excel_BuiltIn_Database&amp;".xls)",IF(OR($C27&lt;&gt;"S",ORÇAMENTO.CodBarra=""),"(Sem Código)",IF(ISERROR(MATCH($AE27,INDIRECT(ORÇAMENTO.BancoRef),0)),"(Código não identificado nas referências)",MATCH($AE27,INDIRECT(ORÇAMENTO.BancoRef),0))))</f>
        <v>(abra o arquivo 'Referência 11-2023.xls)</v>
      </c>
      <c r="AG27" s="575">
        <f t="shared" ref="AG27:AG32" ca="1" si="42">ROUND(IF(DESONERACAO="sim",REFERENCIA.Desonerado,REFERENCIA.NaoDesonerado),2)</f>
        <v>0</v>
      </c>
      <c r="AH27" s="576">
        <f t="shared" ref="AH27:AH32" ca="1" si="43">ROUND(IF(ISNUMBER(ORÇAMENTO.OpcaoBDI),ORÇAMENTO.OpcaoBDI,IF(LEFT(ORÇAMENTO.OpcaoBDI,3)="BDI",HLOOKUP(ORÇAMENTO.OpcaoBDI,$F$4:$H$5,2,FALSE),0)),15-11*$AF$9)</f>
        <v>0.20730000000000001</v>
      </c>
      <c r="AJ27" s="578"/>
      <c r="AL27" s="608"/>
      <c r="AM27" s="426">
        <f t="shared" ca="1" si="0"/>
        <v>90374.61</v>
      </c>
      <c r="AN27" s="651">
        <f t="shared" ref="AN27:AN32" ca="1" si="44">ROUND(ORÇAMENTO.CustoUnitario*(1+$AH27),2)</f>
        <v>93.54</v>
      </c>
    </row>
    <row r="28" spans="1:40" x14ac:dyDescent="0.2">
      <c r="A28">
        <f t="shared" si="24"/>
        <v>2</v>
      </c>
      <c r="B28">
        <f t="shared" ca="1" si="25"/>
        <v>2</v>
      </c>
      <c r="C28">
        <f t="shared" ca="1" si="26"/>
        <v>2</v>
      </c>
      <c r="D28">
        <f t="shared" ca="1" si="27"/>
        <v>5</v>
      </c>
      <c r="E28">
        <f ca="1">IF($C28=1,OFFSET(E28,-1,0)+MAX(1,COUNTIF(QCI!$A$13:$A$23,OFFSET(ORÇAMENTO!E28,-1,0))),OFFSET(E28,-1,0))</f>
        <v>1</v>
      </c>
      <c r="F28">
        <f t="shared" ca="1" si="28"/>
        <v>5</v>
      </c>
      <c r="G28">
        <f t="shared" ca="1" si="29"/>
        <v>0</v>
      </c>
      <c r="H28">
        <f t="shared" ca="1" si="30"/>
        <v>0</v>
      </c>
      <c r="I28">
        <f t="shared" ca="1" si="31"/>
        <v>0</v>
      </c>
      <c r="J28">
        <f t="shared" ca="1" si="9"/>
        <v>5</v>
      </c>
      <c r="K28" t="e">
        <f ca="1">IF(OR($C28="S",$C28=0),0,MATCH(OFFSET($D28,0,$C28)+IF($C28&lt;&gt;1,1,COUNTIF(QCI!$A$13:$A$23,ORÇAMENTO!E28)),OFFSET($D28,1,$C28,ROW($C$33)-ROW($C28)),0))</f>
        <v>#N/A</v>
      </c>
      <c r="L28" s="139" t="str">
        <f t="shared" ca="1" si="32"/>
        <v>F</v>
      </c>
      <c r="M28" s="140" t="s">
        <v>198</v>
      </c>
      <c r="N28" s="141" t="str">
        <f t="shared" ca="1" si="33"/>
        <v>Nível 2</v>
      </c>
      <c r="O28" s="142" t="str">
        <f t="shared" ca="1" si="34"/>
        <v>1.5.</v>
      </c>
      <c r="P28" s="143" t="s">
        <v>249</v>
      </c>
      <c r="Q28" s="144"/>
      <c r="R28" s="145" t="s">
        <v>478</v>
      </c>
      <c r="S28" s="146" t="str">
        <f t="shared" ca="1" si="13"/>
        <v>-</v>
      </c>
      <c r="T28" s="147">
        <f ca="1">OFFSET(CÁLCULO!H$15,ROW($T28)-ROW(T$15),0)</f>
        <v>0</v>
      </c>
      <c r="U28" s="148"/>
      <c r="V28" s="149" t="s">
        <v>158</v>
      </c>
      <c r="W28" s="147">
        <f t="shared" ca="1" si="35"/>
        <v>0</v>
      </c>
      <c r="X28" s="150">
        <f t="shared" ca="1" si="36"/>
        <v>5863.08</v>
      </c>
      <c r="Y28" s="151" t="s">
        <v>247</v>
      </c>
      <c r="Z28" t="str">
        <f t="shared" ca="1" si="37"/>
        <v/>
      </c>
      <c r="AA28" s="152">
        <f ca="1">IF($C28="S",IF($Z28="CP",$X28,IF($Z28="RA",(($X28)*QCI!$AA$3),0)),SomaAgrup)</f>
        <v>234.50652810585046</v>
      </c>
      <c r="AB28" s="153">
        <f t="shared" ca="1" si="38"/>
        <v>0</v>
      </c>
      <c r="AC28" s="154" t="str">
        <f t="shared" ca="1" si="39"/>
        <v/>
      </c>
      <c r="AD28" s="100">
        <f ca="1">IF(C28&lt;=CRONO.NivelExibicao,MAX($AD$15:OFFSET(AD28,-1,0))+IF($C28&lt;&gt;1,1,MAX(1,COUNTIF(QCI!$A$13:$A$23,OFFSET($E28,-1,0)))),"")</f>
        <v>6</v>
      </c>
      <c r="AE28" s="110" t="b">
        <f t="shared" ca="1" si="40"/>
        <v>0</v>
      </c>
      <c r="AF28" s="155" t="str">
        <f t="shared" ca="1" si="41"/>
        <v>(abra o arquivo 'Referência 11-2023.xls)</v>
      </c>
      <c r="AG28" s="575">
        <f t="shared" ca="1" si="42"/>
        <v>0</v>
      </c>
      <c r="AH28" s="576">
        <f t="shared" ca="1" si="43"/>
        <v>0.20730000000000001</v>
      </c>
      <c r="AJ28" s="578"/>
      <c r="AL28" s="608"/>
      <c r="AM28" s="426">
        <f t="shared" ca="1" si="0"/>
        <v>5863.08</v>
      </c>
      <c r="AN28" s="651">
        <f t="shared" ca="1" si="44"/>
        <v>0</v>
      </c>
    </row>
    <row r="29" spans="1:40" ht="25.5" x14ac:dyDescent="0.2">
      <c r="A29" t="str">
        <f t="shared" si="24"/>
        <v>S</v>
      </c>
      <c r="B29">
        <f t="shared" ca="1" si="25"/>
        <v>2</v>
      </c>
      <c r="C29" t="str">
        <f t="shared" ca="1" si="26"/>
        <v>S</v>
      </c>
      <c r="D29">
        <f t="shared" ca="1" si="27"/>
        <v>0</v>
      </c>
      <c r="E29">
        <f ca="1">IF($C29=1,OFFSET(E29,-1,0)+MAX(1,COUNTIF(QCI!$A$13:$A$23,OFFSET(ORÇAMENTO!E29,-1,0))),OFFSET(E29,-1,0))</f>
        <v>1</v>
      </c>
      <c r="F29">
        <f t="shared" ca="1" si="28"/>
        <v>5</v>
      </c>
      <c r="G29">
        <f t="shared" ca="1" si="29"/>
        <v>0</v>
      </c>
      <c r="H29">
        <f t="shared" ca="1" si="30"/>
        <v>0</v>
      </c>
      <c r="I29">
        <f t="shared" ca="1" si="31"/>
        <v>1</v>
      </c>
      <c r="J29">
        <f t="shared" ca="1" si="9"/>
        <v>0</v>
      </c>
      <c r="K29">
        <f ca="1">IF(OR($C29="S",$C29=0),0,MATCH(OFFSET($D29,0,$C29)+IF($C29&lt;&gt;1,1,COUNTIF(QCI!$A$13:$A$23,ORÇAMENTO!E29)),OFFSET($D29,1,$C29,ROW($C$33)-ROW($C29)),0))</f>
        <v>0</v>
      </c>
      <c r="L29" s="139" t="str">
        <f t="shared" ca="1" si="32"/>
        <v>F</v>
      </c>
      <c r="M29" s="140" t="s">
        <v>201</v>
      </c>
      <c r="N29" s="141" t="str">
        <f t="shared" ca="1" si="33"/>
        <v>Serviço</v>
      </c>
      <c r="O29" s="142" t="str">
        <f t="shared" ca="1" si="34"/>
        <v>1.5.1.</v>
      </c>
      <c r="P29" s="143" t="s">
        <v>470</v>
      </c>
      <c r="Q29" s="144" t="s">
        <v>479</v>
      </c>
      <c r="R29" s="145" t="s">
        <v>486</v>
      </c>
      <c r="S29" s="146" t="s">
        <v>237</v>
      </c>
      <c r="T29" s="147">
        <f ca="1">OFFSET(CÁLCULO!H$15,ROW($T29)-ROW(T$15),0)</f>
        <v>4</v>
      </c>
      <c r="U29" s="148">
        <f>2068.36/4/1.2073</f>
        <v>428.30282448438663</v>
      </c>
      <c r="V29" s="149" t="s">
        <v>158</v>
      </c>
      <c r="W29" s="147">
        <f t="shared" ca="1" si="35"/>
        <v>517.09</v>
      </c>
      <c r="X29" s="150">
        <f t="shared" ca="1" si="36"/>
        <v>2068.36</v>
      </c>
      <c r="Y29" s="151" t="s">
        <v>247</v>
      </c>
      <c r="Z29" t="str">
        <f t="shared" ca="1" si="37"/>
        <v>RA</v>
      </c>
      <c r="AA29" s="152">
        <f ca="1">IF($C29="S",IF($Z29="CP",$X29,IF($Z29="RA",(($X29)*QCI!$AA$3),0)),SomaAgrup)</f>
        <v>82.728518538552578</v>
      </c>
      <c r="AB29" s="153">
        <f t="shared" ca="1" si="38"/>
        <v>0</v>
      </c>
      <c r="AC29" s="154" t="str">
        <f t="shared" ca="1" si="39"/>
        <v/>
      </c>
      <c r="AD29" s="100" t="str">
        <f ca="1">IF(C29&lt;=CRONO.NivelExibicao,MAX($AD$15:OFFSET(AD29,-1,0))+IF($C29&lt;&gt;1,1,MAX(1,COUNTIF(QCI!$A$13:$A$23,OFFSET($E29,-1,0)))),"")</f>
        <v/>
      </c>
      <c r="AE29" s="110" t="str">
        <f t="shared" ca="1" si="40"/>
        <v>SICRO 5213445</v>
      </c>
      <c r="AF29" s="155" t="str">
        <f t="shared" ca="1" si="41"/>
        <v>(abra o arquivo 'Referência 11-2023.xls)</v>
      </c>
      <c r="AG29" s="575">
        <f t="shared" ca="1" si="42"/>
        <v>0</v>
      </c>
      <c r="AH29" s="576">
        <f t="shared" ca="1" si="43"/>
        <v>0.20730000000000001</v>
      </c>
      <c r="AJ29" s="578"/>
      <c r="AL29" s="608"/>
      <c r="AM29" s="426">
        <f t="shared" ca="1" si="0"/>
        <v>2068.36</v>
      </c>
      <c r="AN29" s="651">
        <f t="shared" ca="1" si="44"/>
        <v>517.09</v>
      </c>
    </row>
    <row r="30" spans="1:40" ht="25.5" x14ac:dyDescent="0.2">
      <c r="A30" t="str">
        <f t="shared" si="24"/>
        <v>S</v>
      </c>
      <c r="B30">
        <f t="shared" ca="1" si="25"/>
        <v>2</v>
      </c>
      <c r="C30" t="str">
        <f t="shared" ca="1" si="26"/>
        <v>S</v>
      </c>
      <c r="D30">
        <f t="shared" ca="1" si="27"/>
        <v>0</v>
      </c>
      <c r="E30">
        <f ca="1">IF($C30=1,OFFSET(E30,-1,0)+MAX(1,COUNTIF(QCI!$A$13:$A$23,OFFSET(ORÇAMENTO!E30,-1,0))),OFFSET(E30,-1,0))</f>
        <v>1</v>
      </c>
      <c r="F30">
        <f t="shared" ca="1" si="28"/>
        <v>5</v>
      </c>
      <c r="G30">
        <f t="shared" ca="1" si="29"/>
        <v>0</v>
      </c>
      <c r="H30">
        <f t="shared" ca="1" si="30"/>
        <v>0</v>
      </c>
      <c r="I30">
        <f t="shared" ca="1" si="31"/>
        <v>2</v>
      </c>
      <c r="J30">
        <f t="shared" ca="1" si="9"/>
        <v>0</v>
      </c>
      <c r="K30">
        <f ca="1">IF(OR($C30="S",$C30=0),0,MATCH(OFFSET($D30,0,$C30)+IF($C30&lt;&gt;1,1,COUNTIF(QCI!$A$13:$A$23,ORÇAMENTO!E30)),OFFSET($D30,1,$C30,ROW($C$33)-ROW($C30)),0))</f>
        <v>0</v>
      </c>
      <c r="L30" s="139" t="str">
        <f t="shared" ca="1" si="32"/>
        <v>F</v>
      </c>
      <c r="M30" s="140" t="s">
        <v>201</v>
      </c>
      <c r="N30" s="141" t="str">
        <f t="shared" ca="1" si="33"/>
        <v>Serviço</v>
      </c>
      <c r="O30" s="142" t="str">
        <f t="shared" ca="1" si="34"/>
        <v>1.5.2.</v>
      </c>
      <c r="P30" s="143" t="s">
        <v>470</v>
      </c>
      <c r="Q30" s="144" t="s">
        <v>481</v>
      </c>
      <c r="R30" s="145" t="s">
        <v>485</v>
      </c>
      <c r="S30" s="146" t="s">
        <v>237</v>
      </c>
      <c r="T30" s="147">
        <f ca="1">OFFSET(CÁLCULO!H$15,ROW($T30)-ROW(T$15),0)</f>
        <v>4</v>
      </c>
      <c r="U30" s="148">
        <f>2077.28/4/1.2073</f>
        <v>430.14992131201859</v>
      </c>
      <c r="V30" s="149" t="s">
        <v>158</v>
      </c>
      <c r="W30" s="147">
        <f t="shared" ca="1" si="35"/>
        <v>519.32000000000096</v>
      </c>
      <c r="X30" s="150">
        <f t="shared" ca="1" si="36"/>
        <v>2077.2800000000002</v>
      </c>
      <c r="Y30" s="151" t="s">
        <v>247</v>
      </c>
      <c r="Z30" t="str">
        <f t="shared" ca="1" si="37"/>
        <v>RA</v>
      </c>
      <c r="AA30" s="152">
        <f ca="1">IF($C30="S",IF($Z30="CP",$X30,IF($Z30="RA",(($X30)*QCI!$AA$3),0)),SomaAgrup)</f>
        <v>83.085293174188493</v>
      </c>
      <c r="AB30" s="153">
        <f t="shared" ca="1" si="38"/>
        <v>0</v>
      </c>
      <c r="AC30" s="154" t="str">
        <f t="shared" ca="1" si="39"/>
        <v/>
      </c>
      <c r="AD30" s="100" t="str">
        <f ca="1">IF(C30&lt;=CRONO.NivelExibicao,MAX($AD$15:OFFSET(AD30,-1,0))+IF($C30&lt;&gt;1,1,MAX(1,COUNTIF(QCI!$A$13:$A$23,OFFSET($E30,-1,0)))),"")</f>
        <v/>
      </c>
      <c r="AE30" s="110" t="str">
        <f t="shared" ca="1" si="40"/>
        <v>SICRO 5213856</v>
      </c>
      <c r="AF30" s="155" t="str">
        <f t="shared" ca="1" si="41"/>
        <v>(abra o arquivo 'Referência 11-2023.xls)</v>
      </c>
      <c r="AG30" s="575">
        <f t="shared" ca="1" si="42"/>
        <v>0</v>
      </c>
      <c r="AH30" s="576">
        <f t="shared" ca="1" si="43"/>
        <v>0.20730000000000001</v>
      </c>
      <c r="AJ30" s="578"/>
      <c r="AL30" s="608"/>
      <c r="AM30" s="426">
        <f t="shared" ca="1" si="0"/>
        <v>2077.2800000000002</v>
      </c>
      <c r="AN30" s="651">
        <f t="shared" ca="1" si="44"/>
        <v>519.32000000000005</v>
      </c>
    </row>
    <row r="31" spans="1:40" ht="25.5" x14ac:dyDescent="0.2">
      <c r="A31" t="str">
        <f t="shared" si="24"/>
        <v>S</v>
      </c>
      <c r="B31">
        <f t="shared" ca="1" si="25"/>
        <v>2</v>
      </c>
      <c r="C31" t="str">
        <f t="shared" ca="1" si="26"/>
        <v>S</v>
      </c>
      <c r="D31">
        <f t="shared" ca="1" si="27"/>
        <v>0</v>
      </c>
      <c r="E31">
        <f ca="1">IF($C31=1,OFFSET(E31,-1,0)+MAX(1,COUNTIF(QCI!$A$13:$A$23,OFFSET(ORÇAMENTO!E31,-1,0))),OFFSET(E31,-1,0))</f>
        <v>1</v>
      </c>
      <c r="F31">
        <f t="shared" ca="1" si="28"/>
        <v>5</v>
      </c>
      <c r="G31">
        <f t="shared" ca="1" si="29"/>
        <v>0</v>
      </c>
      <c r="H31">
        <f t="shared" ca="1" si="30"/>
        <v>0</v>
      </c>
      <c r="I31">
        <f t="shared" ca="1" si="31"/>
        <v>3</v>
      </c>
      <c r="J31">
        <f t="shared" ca="1" si="9"/>
        <v>0</v>
      </c>
      <c r="K31">
        <f ca="1">IF(OR($C31="S",$C31=0),0,MATCH(OFFSET($D31,0,$C31)+IF($C31&lt;&gt;1,1,COUNTIF(QCI!$A$13:$A$23,ORÇAMENTO!E31)),OFFSET($D31,1,$C31,ROW($C$33)-ROW($C31)),0))</f>
        <v>0</v>
      </c>
      <c r="L31" s="139" t="str">
        <f t="shared" ca="1" si="32"/>
        <v>F</v>
      </c>
      <c r="M31" s="140" t="s">
        <v>201</v>
      </c>
      <c r="N31" s="141" t="str">
        <f t="shared" ca="1" si="33"/>
        <v>Serviço</v>
      </c>
      <c r="O31" s="142" t="str">
        <f t="shared" ca="1" si="34"/>
        <v>1.5.3.</v>
      </c>
      <c r="P31" s="143" t="s">
        <v>470</v>
      </c>
      <c r="Q31" s="144" t="s">
        <v>480</v>
      </c>
      <c r="R31" s="145" t="s">
        <v>484</v>
      </c>
      <c r="S31" s="146" t="s">
        <v>237</v>
      </c>
      <c r="T31" s="147">
        <f ca="1">OFFSET(CÁLCULO!H$15,ROW($T31)-ROW(T$15),0)</f>
        <v>2</v>
      </c>
      <c r="U31" s="148">
        <f>602.58/2/1.2073</f>
        <v>249.55686242027667</v>
      </c>
      <c r="V31" s="149" t="s">
        <v>158</v>
      </c>
      <c r="W31" s="147">
        <f t="shared" ca="1" si="35"/>
        <v>301.29000000000002</v>
      </c>
      <c r="X31" s="150">
        <f t="shared" ca="1" si="36"/>
        <v>602.58000000000004</v>
      </c>
      <c r="Y31" s="151" t="s">
        <v>247</v>
      </c>
      <c r="Z31" t="str">
        <f t="shared" ca="1" si="37"/>
        <v>RA</v>
      </c>
      <c r="AA31" s="152">
        <f ca="1">IF($C31="S",IF($Z31="CP",$X31,IF($Z31="RA",(($X31)*QCI!$AA$3),0)),SomaAgrup)</f>
        <v>24.10148654052535</v>
      </c>
      <c r="AB31" s="153">
        <f t="shared" ca="1" si="38"/>
        <v>0</v>
      </c>
      <c r="AC31" s="154" t="str">
        <f t="shared" ca="1" si="39"/>
        <v/>
      </c>
      <c r="AD31" s="100" t="str">
        <f ca="1">IF(C31&lt;=CRONO.NivelExibicao,MAX($AD$15:OFFSET(AD31,-1,0))+IF($C31&lt;&gt;1,1,MAX(1,COUNTIF(QCI!$A$13:$A$23,OFFSET($E31,-1,0)))),"")</f>
        <v/>
      </c>
      <c r="AE31" s="110" t="str">
        <f t="shared" ca="1" si="40"/>
        <v>SICRO 5213440</v>
      </c>
      <c r="AF31" s="155" t="str">
        <f t="shared" ca="1" si="41"/>
        <v>(abra o arquivo 'Referência 11-2023.xls)</v>
      </c>
      <c r="AG31" s="575">
        <f t="shared" ca="1" si="42"/>
        <v>0</v>
      </c>
      <c r="AH31" s="576">
        <f t="shared" ca="1" si="43"/>
        <v>0.20730000000000001</v>
      </c>
      <c r="AJ31" s="578"/>
      <c r="AL31" s="608"/>
      <c r="AM31" s="426">
        <f t="shared" ca="1" si="0"/>
        <v>602.58000000000004</v>
      </c>
      <c r="AN31" s="651">
        <f t="shared" ca="1" si="44"/>
        <v>301.29000000000002</v>
      </c>
    </row>
    <row r="32" spans="1:40" ht="25.5" x14ac:dyDescent="0.2">
      <c r="A32" t="str">
        <f t="shared" si="24"/>
        <v>S</v>
      </c>
      <c r="B32">
        <f t="shared" ca="1" si="25"/>
        <v>2</v>
      </c>
      <c r="C32" t="str">
        <f t="shared" ca="1" si="26"/>
        <v>S</v>
      </c>
      <c r="D32">
        <f t="shared" ca="1" si="27"/>
        <v>0</v>
      </c>
      <c r="E32">
        <f ca="1">IF($C32=1,OFFSET(E32,-1,0)+MAX(1,COUNTIF(QCI!$A$13:$A$23,OFFSET(ORÇAMENTO!E32,-1,0))),OFFSET(E32,-1,0))</f>
        <v>1</v>
      </c>
      <c r="F32">
        <f t="shared" ca="1" si="28"/>
        <v>5</v>
      </c>
      <c r="G32">
        <f t="shared" ca="1" si="29"/>
        <v>0</v>
      </c>
      <c r="H32">
        <f t="shared" ca="1" si="30"/>
        <v>0</v>
      </c>
      <c r="I32">
        <f t="shared" ca="1" si="31"/>
        <v>4</v>
      </c>
      <c r="J32">
        <f t="shared" ca="1" si="9"/>
        <v>0</v>
      </c>
      <c r="K32">
        <f ca="1">IF(OR($C32="S",$C32=0),0,MATCH(OFFSET($D32,0,$C32)+IF($C32&lt;&gt;1,1,COUNTIF(QCI!$A$13:$A$23,ORÇAMENTO!E32)),OFFSET($D32,1,$C32,ROW($C$33)-ROW($C32)),0))</f>
        <v>0</v>
      </c>
      <c r="L32" s="139" t="str">
        <f t="shared" ca="1" si="32"/>
        <v>F</v>
      </c>
      <c r="M32" s="140" t="s">
        <v>201</v>
      </c>
      <c r="N32" s="141" t="str">
        <f t="shared" ca="1" si="33"/>
        <v>Serviço</v>
      </c>
      <c r="O32" s="142" t="str">
        <f t="shared" ca="1" si="34"/>
        <v>1.5.4.</v>
      </c>
      <c r="P32" s="143" t="s">
        <v>470</v>
      </c>
      <c r="Q32" s="144" t="s">
        <v>482</v>
      </c>
      <c r="R32" s="145" t="s">
        <v>483</v>
      </c>
      <c r="S32" s="146" t="s">
        <v>237</v>
      </c>
      <c r="T32" s="147">
        <f ca="1">OFFSET(CÁLCULO!H$15,ROW($T32)-ROW(T$15),0)</f>
        <v>2</v>
      </c>
      <c r="U32" s="148">
        <f>1114.86/2/1.2073</f>
        <v>461.71622629006868</v>
      </c>
      <c r="V32" s="149" t="s">
        <v>158</v>
      </c>
      <c r="W32" s="147">
        <f t="shared" ca="1" si="35"/>
        <v>557.42999999999995</v>
      </c>
      <c r="X32" s="150">
        <f t="shared" ca="1" si="36"/>
        <v>1114.8599999999999</v>
      </c>
      <c r="Y32" s="151" t="s">
        <v>247</v>
      </c>
      <c r="Z32" t="str">
        <f t="shared" ca="1" si="37"/>
        <v>RA</v>
      </c>
      <c r="AA32" s="152">
        <f ca="1">IF($C32="S",IF($Z32="CP",$X32,IF($Z32="RA",(($X32)*QCI!$AA$3),0)),SomaAgrup)</f>
        <v>44.591229852584036</v>
      </c>
      <c r="AB32" s="153">
        <f t="shared" ca="1" si="38"/>
        <v>0</v>
      </c>
      <c r="AC32" s="154" t="str">
        <f t="shared" ca="1" si="39"/>
        <v/>
      </c>
      <c r="AD32" s="100" t="str">
        <f ca="1">IF(C32&lt;=CRONO.NivelExibicao,MAX($AD$15:OFFSET(AD32,-1,0))+IF($C32&lt;&gt;1,1,MAX(1,COUNTIF(QCI!$A$13:$A$23,OFFSET($E32,-1,0)))),"")</f>
        <v/>
      </c>
      <c r="AE32" s="110" t="str">
        <f t="shared" ca="1" si="40"/>
        <v>SICRO 5213863</v>
      </c>
      <c r="AF32" s="155" t="str">
        <f t="shared" ca="1" si="41"/>
        <v>(abra o arquivo 'Referência 11-2023.xls)</v>
      </c>
      <c r="AG32" s="575">
        <f t="shared" ca="1" si="42"/>
        <v>0</v>
      </c>
      <c r="AH32" s="576">
        <f t="shared" ca="1" si="43"/>
        <v>0.20730000000000001</v>
      </c>
      <c r="AJ32" s="578"/>
      <c r="AL32" s="608"/>
      <c r="AM32" s="426">
        <f t="shared" ca="1" si="0"/>
        <v>1114.8599999999999</v>
      </c>
      <c r="AN32" s="651">
        <f t="shared" ca="1" si="44"/>
        <v>557.42999999999995</v>
      </c>
    </row>
    <row r="33" spans="1:40" ht="5.0999999999999996" customHeight="1" x14ac:dyDescent="0.2">
      <c r="A33">
        <v>-1</v>
      </c>
      <c r="C33">
        <v>-1</v>
      </c>
      <c r="E33">
        <v>0</v>
      </c>
      <c r="F33">
        <v>0</v>
      </c>
      <c r="G33">
        <v>0</v>
      </c>
      <c r="H33">
        <v>0</v>
      </c>
      <c r="I33">
        <v>0</v>
      </c>
      <c r="L33" s="139" t="s">
        <v>248</v>
      </c>
      <c r="M33" s="568"/>
      <c r="N33" s="569"/>
      <c r="O33" s="568"/>
      <c r="P33" s="570"/>
      <c r="Q33" s="570"/>
      <c r="R33" s="570"/>
      <c r="S33" s="570"/>
      <c r="T33" s="570"/>
      <c r="U33" s="570"/>
      <c r="V33" s="570"/>
      <c r="W33" s="570"/>
      <c r="X33" s="571"/>
      <c r="Y33" s="100"/>
      <c r="AA33" s="100"/>
      <c r="AB33" s="100"/>
      <c r="AC33" s="100"/>
      <c r="AD33" s="100"/>
      <c r="AE33" s="100"/>
      <c r="AF33" s="100"/>
      <c r="AG33" s="563"/>
      <c r="AH33" s="561"/>
      <c r="AJ33" s="572"/>
      <c r="AL33" s="563"/>
      <c r="AM33" s="560"/>
      <c r="AN33" s="561"/>
    </row>
    <row r="34" spans="1:40" x14ac:dyDescent="0.2"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0"/>
      <c r="AA34" s="100"/>
      <c r="AB34" s="100"/>
      <c r="AC34" s="100"/>
      <c r="AD34" s="100"/>
      <c r="AE34" s="100"/>
      <c r="AF34" s="100"/>
      <c r="AG34" s="100"/>
      <c r="AH34" s="100"/>
      <c r="AN34" s="100"/>
    </row>
    <row r="35" spans="1:40" x14ac:dyDescent="0.2"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0"/>
      <c r="AA35" s="100"/>
      <c r="AB35" s="100"/>
      <c r="AC35" s="100"/>
      <c r="AD35" s="100"/>
      <c r="AE35" s="100"/>
      <c r="AF35" s="100"/>
      <c r="AG35" s="100"/>
      <c r="AH35" s="100"/>
      <c r="AN35" s="100"/>
    </row>
    <row r="36" spans="1:40" ht="14.25" x14ac:dyDescent="0.2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65" t="s">
        <v>250</v>
      </c>
      <c r="P36" s="100"/>
      <c r="Q36" s="710" t="s">
        <v>251</v>
      </c>
      <c r="R36" s="710"/>
      <c r="S36" s="710"/>
      <c r="T36" s="710"/>
      <c r="U36" s="710"/>
      <c r="V36" s="710"/>
      <c r="W36" s="710"/>
      <c r="X36" s="71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N36" s="100"/>
    </row>
    <row r="37" spans="1:40" x14ac:dyDescent="0.2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N37" s="100"/>
    </row>
    <row r="38" spans="1:40" ht="14.25" x14ac:dyDescent="0.2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66" t="s">
        <v>189</v>
      </c>
      <c r="P38" s="101"/>
      <c r="Q38" s="101"/>
      <c r="R38" s="101"/>
      <c r="S38" s="101"/>
      <c r="T38" s="101"/>
      <c r="U38" s="101"/>
      <c r="V38" s="101"/>
      <c r="W38" s="101"/>
      <c r="X38" s="167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N38" s="100"/>
    </row>
    <row r="39" spans="1:40" ht="12.75" customHeight="1" x14ac:dyDescent="0.2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711"/>
      <c r="P39" s="711"/>
      <c r="Q39" s="711"/>
      <c r="R39" s="711"/>
      <c r="S39" s="711"/>
      <c r="T39" s="711"/>
      <c r="U39" s="711"/>
      <c r="V39" s="711"/>
      <c r="W39" s="711"/>
      <c r="X39" s="711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N39" s="100"/>
    </row>
    <row r="40" spans="1:40" x14ac:dyDescent="0.2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711"/>
      <c r="P40" s="711"/>
      <c r="Q40" s="711"/>
      <c r="R40" s="711"/>
      <c r="S40" s="711"/>
      <c r="T40" s="711"/>
      <c r="U40" s="711"/>
      <c r="V40" s="711"/>
      <c r="W40" s="711"/>
      <c r="X40" s="711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N40" s="100"/>
    </row>
    <row r="41" spans="1:40" x14ac:dyDescent="0.2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711"/>
      <c r="P41" s="711"/>
      <c r="Q41" s="711"/>
      <c r="R41" s="711"/>
      <c r="S41" s="711"/>
      <c r="T41" s="711"/>
      <c r="U41" s="711"/>
      <c r="V41" s="711"/>
      <c r="W41" s="711"/>
      <c r="X41" s="711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N41" s="100"/>
    </row>
    <row r="42" spans="1:40" ht="14.25" x14ac:dyDescent="0.2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615"/>
      <c r="P42" s="615"/>
      <c r="Q42" s="615"/>
      <c r="R42" s="615"/>
      <c r="S42" s="615"/>
      <c r="T42" s="615"/>
      <c r="U42" s="615"/>
      <c r="V42" s="615"/>
      <c r="W42" s="615"/>
      <c r="X42" s="615"/>
      <c r="Y42" s="615"/>
      <c r="Z42" s="168"/>
      <c r="AA42" s="168"/>
      <c r="AB42" s="168"/>
      <c r="AC42" s="100"/>
      <c r="AD42" s="100"/>
      <c r="AE42" s="100"/>
      <c r="AF42" s="100"/>
      <c r="AG42" s="100"/>
      <c r="AH42" s="100"/>
      <c r="AN42" s="100"/>
    </row>
    <row r="43" spans="1:40" ht="15" x14ac:dyDescent="0.25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712" t="str">
        <f>IF(AND($AF$7=FALSE,$AF$8=FALSE,$AF$9=FALSE,$AF$10=FALSE,$AF$11=FALSE),"Não foi considerado arredondamento nos valores da planilha.",CONCATENATE("Foi considerado arredondamento de duas casas decimais para ",IF($AF$7=TRUE,"Quantidade; ",""),IF($AF$8=TRUE,"Custo Unitário; ",""),IF($AF$9=TRUE,"BDI; ",""),IF($AF$10=TRUE,"Preço Unitário; ",""),IF($AF$11=TRUE,"Preço Total.","")))</f>
        <v xml:space="preserve">Foi considerado arredondamento de duas casas decimais para Quantidade; BDI; </v>
      </c>
      <c r="P43" s="712"/>
      <c r="Q43" s="712"/>
      <c r="R43" s="712"/>
      <c r="S43" s="712"/>
      <c r="T43" s="712"/>
      <c r="U43" s="712"/>
      <c r="V43" s="712"/>
      <c r="W43" s="712"/>
      <c r="X43" s="712"/>
      <c r="Y43" s="169"/>
      <c r="Z43" s="169"/>
      <c r="AA43" s="169"/>
      <c r="AB43" s="169"/>
      <c r="AC43" s="100"/>
      <c r="AD43" s="100"/>
      <c r="AE43" s="100"/>
      <c r="AF43" s="100"/>
      <c r="AG43" s="100"/>
      <c r="AH43" s="100"/>
      <c r="AN43" s="100"/>
    </row>
    <row r="44" spans="1:40" ht="15" customHeight="1" x14ac:dyDescent="0.25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714" t="s">
        <v>252</v>
      </c>
      <c r="P44" s="714"/>
      <c r="Q44" s="714"/>
      <c r="R44" s="714"/>
      <c r="S44" s="714"/>
      <c r="T44" s="714"/>
      <c r="U44" s="714"/>
      <c r="V44" s="714"/>
      <c r="W44" s="714"/>
      <c r="X44" s="714"/>
      <c r="Y44" s="169"/>
      <c r="Z44" s="169"/>
      <c r="AA44" s="169"/>
      <c r="AB44" s="169"/>
      <c r="AC44" s="100"/>
      <c r="AD44" s="100"/>
      <c r="AE44" s="100"/>
      <c r="AF44" s="100"/>
      <c r="AG44" s="100"/>
      <c r="AH44" s="100"/>
      <c r="AN44" s="100"/>
    </row>
    <row r="45" spans="1:40" x14ac:dyDescent="0.2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N45" s="100"/>
    </row>
    <row r="46" spans="1:40" ht="30" customHeight="1" x14ac:dyDescent="0.2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713" t="str">
        <f>Import.Município</f>
        <v>CONCEIÇÃO DOS OUROS/MG</v>
      </c>
      <c r="P46" s="713"/>
      <c r="Q46" s="713"/>
      <c r="R46" s="100"/>
      <c r="S46" s="636"/>
      <c r="T46" s="636"/>
      <c r="U46" s="636"/>
      <c r="V46" s="636"/>
      <c r="W46" s="553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N46" s="100"/>
    </row>
    <row r="47" spans="1:40" x14ac:dyDescent="0.2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2" t="s">
        <v>190</v>
      </c>
      <c r="P47" s="100"/>
      <c r="Q47" s="100"/>
      <c r="R47" s="100"/>
      <c r="S47" s="225" t="s">
        <v>192</v>
      </c>
      <c r="T47" s="225"/>
      <c r="U47" s="225"/>
      <c r="V47" s="225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N47" s="100"/>
    </row>
    <row r="48" spans="1:40" x14ac:dyDescent="0.2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90" t="s">
        <v>109</v>
      </c>
      <c r="T48" s="91" t="str">
        <f t="array" ref="T48:T50">Import.RespOrçamento</f>
        <v>JOSÉ AIRTON JUNHO DOS REIS</v>
      </c>
      <c r="U48" s="172"/>
      <c r="V48" s="92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N48" s="100"/>
    </row>
    <row r="49" spans="1:40" x14ac:dyDescent="0.2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708">
        <f>DADOS!$F$25</f>
        <v>45391</v>
      </c>
      <c r="P49" s="708"/>
      <c r="Q49" s="708"/>
      <c r="R49" s="100"/>
      <c r="S49" s="90" t="s">
        <v>110</v>
      </c>
      <c r="T49" s="91" t="str">
        <v>56.250/D</v>
      </c>
      <c r="U49" s="92"/>
      <c r="V49" s="92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N49" s="100"/>
    </row>
    <row r="50" spans="1:40" x14ac:dyDescent="0.2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73" t="s">
        <v>191</v>
      </c>
      <c r="P50" s="174"/>
      <c r="Q50" s="174"/>
      <c r="R50" s="100"/>
      <c r="S50" s="90" t="s">
        <v>111</v>
      </c>
      <c r="T50" s="91" t="str">
        <v>MG20242788680</v>
      </c>
      <c r="U50" s="92"/>
      <c r="V50" s="92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N50" s="100"/>
    </row>
  </sheetData>
  <sheetProtection password="BD1F" sheet="1" objects="1" scenarios="1" autoFilter="0"/>
  <autoFilter ref="L15:L33"/>
  <mergeCells count="24">
    <mergeCell ref="O49:Q49"/>
    <mergeCell ref="O15:R15"/>
    <mergeCell ref="Q36:X36"/>
    <mergeCell ref="O39:X41"/>
    <mergeCell ref="O43:X43"/>
    <mergeCell ref="O46:Q46"/>
    <mergeCell ref="O44:X44"/>
    <mergeCell ref="O4:P4"/>
    <mergeCell ref="S4:X4"/>
    <mergeCell ref="O5:P5"/>
    <mergeCell ref="S5:X5"/>
    <mergeCell ref="F8:K8"/>
    <mergeCell ref="L8:L12"/>
    <mergeCell ref="O8:P8"/>
    <mergeCell ref="S8:U8"/>
    <mergeCell ref="F9:K9"/>
    <mergeCell ref="AE5:AF5"/>
    <mergeCell ref="O7:P7"/>
    <mergeCell ref="S7:U7"/>
    <mergeCell ref="AL7:AL11"/>
    <mergeCell ref="Y8:Y12"/>
    <mergeCell ref="Z8:Z12"/>
    <mergeCell ref="AA12:AB12"/>
    <mergeCell ref="AJ7:AJ11"/>
  </mergeCells>
  <phoneticPr fontId="40" type="noConversion"/>
  <conditionalFormatting sqref="M14 M16:M19 M25:M26">
    <cfRule type="cellIs" dxfId="327" priority="7923" stopIfTrue="1" operator="notEqual">
      <formula>$N14</formula>
    </cfRule>
  </conditionalFormatting>
  <conditionalFormatting sqref="N14:O14 R14 W14:X14 W16:X19 R16:R19 N16:O19 N25:O26 R25:R26 W25:X26">
    <cfRule type="expression" dxfId="326" priority="7924" stopIfTrue="1">
      <formula>$C14=1</formula>
    </cfRule>
    <cfRule type="expression" dxfId="325" priority="7925" stopIfTrue="1">
      <formula>OR($C14=0,$C14=2,$C14=3,$C14=4)</formula>
    </cfRule>
  </conditionalFormatting>
  <conditionalFormatting sqref="U14:V14 U16:V19 U25:V26">
    <cfRule type="expression" dxfId="324" priority="7926" stopIfTrue="1">
      <formula>$C14=1</formula>
    </cfRule>
    <cfRule type="expression" dxfId="323" priority="7927" stopIfTrue="1">
      <formula>OR($C14=0,$C14=2,$C14=3,$C14=4)</formula>
    </cfRule>
    <cfRule type="expression" dxfId="322" priority="7928" stopIfTrue="1">
      <formula>AND(TIPOORCAMENTO="Licitado",$C14&lt;&gt;"L",$C14&lt;&gt;-1)</formula>
    </cfRule>
  </conditionalFormatting>
  <conditionalFormatting sqref="P14:Q14 S14:T14 Y14 AG14:AH14 AG16:AH19 Y16:Y19 S16:T19 P16:Q19 P25:Q26 S25:T26 Y25:Y26 AG25:AH26">
    <cfRule type="expression" dxfId="321" priority="7929" stopIfTrue="1">
      <formula>$C14=1</formula>
    </cfRule>
    <cfRule type="expression" dxfId="320" priority="7930" stopIfTrue="1">
      <formula>OR($C14=0,$C14=2,$C14=3,$C14=4)</formula>
    </cfRule>
  </conditionalFormatting>
  <conditionalFormatting sqref="AJ33 AJ7:AJ19 AJ25:AJ26">
    <cfRule type="expression" dxfId="319" priority="7931" stopIfTrue="1">
      <formula>OR(ACOMPANHAMENTO&lt;&gt;"BM",TIPOORCAMENTO="Licitado")</formula>
    </cfRule>
    <cfRule type="expression" dxfId="318" priority="7932" stopIfTrue="1">
      <formula>$C7=1</formula>
    </cfRule>
    <cfRule type="expression" dxfId="317" priority="7933" stopIfTrue="1">
      <formula>OR(AND(ISNUMBER($C7),$C7=0),$C7=2,$C7=3,$C7=4)</formula>
    </cfRule>
  </conditionalFormatting>
  <conditionalFormatting sqref="AL33 AL7:AL19 AL25:AL26">
    <cfRule type="expression" dxfId="316" priority="7934" stopIfTrue="1">
      <formula>TIPOORCAMENTO="PROPOSTO"</formula>
    </cfRule>
    <cfRule type="expression" dxfId="315" priority="7935" stopIfTrue="1">
      <formula>$C7=1</formula>
    </cfRule>
    <cfRule type="expression" dxfId="314" priority="7936" stopIfTrue="1">
      <formula>OR(AND(ISNUMBER($C7),$C7=0),$C7=2,$C7=3,$C7=4)</formula>
    </cfRule>
  </conditionalFormatting>
  <conditionalFormatting sqref="O8:P8">
    <cfRule type="expression" dxfId="313" priority="7940" stopIfTrue="1">
      <formula>ISERROR(INDIRECT($F$9))</formula>
    </cfRule>
  </conditionalFormatting>
  <conditionalFormatting sqref="S7:V8">
    <cfRule type="expression" dxfId="312" priority="7941" stopIfTrue="1">
      <formula>TIPOORCAMENTO="Proposto"</formula>
    </cfRule>
  </conditionalFormatting>
  <conditionalFormatting sqref="S9:V9">
    <cfRule type="expression" dxfId="311" priority="7888" stopIfTrue="1">
      <formula>TIPOORCAMENTO="Proposto"</formula>
    </cfRule>
  </conditionalFormatting>
  <conditionalFormatting sqref="AM33:AN33 AM7:AN19 AM25:AN26">
    <cfRule type="expression" dxfId="310" priority="7937" stopIfTrue="1">
      <formula>TIPOORCAMENTO="PROPOSTO"</formula>
    </cfRule>
    <cfRule type="expression" dxfId="309" priority="7938" stopIfTrue="1">
      <formula>$C7=1</formula>
    </cfRule>
    <cfRule type="expression" dxfId="308" priority="7939" stopIfTrue="1">
      <formula>OR(AND(ISNUMBER($C7),$C7=0),$C7=2,$C7=3,$C7=4)</formula>
    </cfRule>
  </conditionalFormatting>
  <conditionalFormatting sqref="M27">
    <cfRule type="cellIs" dxfId="307" priority="290" stopIfTrue="1" operator="notEqual">
      <formula>$N27</formula>
    </cfRule>
  </conditionalFormatting>
  <conditionalFormatting sqref="N27:O27 R27 W27:X27">
    <cfRule type="expression" dxfId="306" priority="291" stopIfTrue="1">
      <formula>$C27=1</formula>
    </cfRule>
    <cfRule type="expression" dxfId="305" priority="292" stopIfTrue="1">
      <formula>OR($C27=0,$C27=2,$C27=3,$C27=4)</formula>
    </cfRule>
  </conditionalFormatting>
  <conditionalFormatting sqref="U27:V27">
    <cfRule type="expression" dxfId="304" priority="293" stopIfTrue="1">
      <formula>$C27=1</formula>
    </cfRule>
    <cfRule type="expression" dxfId="303" priority="294" stopIfTrue="1">
      <formula>OR($C27=0,$C27=2,$C27=3,$C27=4)</formula>
    </cfRule>
    <cfRule type="expression" dxfId="302" priority="295" stopIfTrue="1">
      <formula>AND(TIPOORCAMENTO="Licitado",$C27&lt;&gt;"L",$C27&lt;&gt;-1)</formula>
    </cfRule>
  </conditionalFormatting>
  <conditionalFormatting sqref="P27:Q27 S27:T27 Y27 AG27:AH27">
    <cfRule type="expression" dxfId="301" priority="296" stopIfTrue="1">
      <formula>$C27=1</formula>
    </cfRule>
    <cfRule type="expression" dxfId="300" priority="297" stopIfTrue="1">
      <formula>OR($C27=0,$C27=2,$C27=3,$C27=4)</formula>
    </cfRule>
  </conditionalFormatting>
  <conditionalFormatting sqref="AJ27">
    <cfRule type="expression" dxfId="299" priority="298" stopIfTrue="1">
      <formula>OR(ACOMPANHAMENTO&lt;&gt;"BM",TIPOORCAMENTO="Licitado")</formula>
    </cfRule>
    <cfRule type="expression" dxfId="298" priority="299" stopIfTrue="1">
      <formula>$C27=1</formula>
    </cfRule>
    <cfRule type="expression" dxfId="297" priority="300" stopIfTrue="1">
      <formula>OR(AND(ISNUMBER($C27),$C27=0),$C27=2,$C27=3,$C27=4)</formula>
    </cfRule>
  </conditionalFormatting>
  <conditionalFormatting sqref="AL27">
    <cfRule type="expression" dxfId="296" priority="301" stopIfTrue="1">
      <formula>TIPOORCAMENTO="PROPOSTO"</formula>
    </cfRule>
    <cfRule type="expression" dxfId="295" priority="302" stopIfTrue="1">
      <formula>$C27=1</formula>
    </cfRule>
    <cfRule type="expression" dxfId="294" priority="303" stopIfTrue="1">
      <formula>OR(AND(ISNUMBER($C27),$C27=0),$C27=2,$C27=3,$C27=4)</formula>
    </cfRule>
  </conditionalFormatting>
  <conditionalFormatting sqref="AM27:AN27">
    <cfRule type="expression" dxfId="293" priority="304" stopIfTrue="1">
      <formula>TIPOORCAMENTO="PROPOSTO"</formula>
    </cfRule>
    <cfRule type="expression" dxfId="292" priority="305" stopIfTrue="1">
      <formula>$C27=1</formula>
    </cfRule>
    <cfRule type="expression" dxfId="291" priority="306" stopIfTrue="1">
      <formula>OR(AND(ISNUMBER($C27),$C27=0),$C27=2,$C27=3,$C27=4)</formula>
    </cfRule>
  </conditionalFormatting>
  <conditionalFormatting sqref="M22">
    <cfRule type="cellIs" dxfId="290" priority="239" stopIfTrue="1" operator="notEqual">
      <formula>$N22</formula>
    </cfRule>
  </conditionalFormatting>
  <conditionalFormatting sqref="N22:O22 R22 W22:X22">
    <cfRule type="expression" dxfId="289" priority="240" stopIfTrue="1">
      <formula>$C22=1</formula>
    </cfRule>
    <cfRule type="expression" dxfId="288" priority="241" stopIfTrue="1">
      <formula>OR($C22=0,$C22=2,$C22=3,$C22=4)</formula>
    </cfRule>
  </conditionalFormatting>
  <conditionalFormatting sqref="U22:V22">
    <cfRule type="expression" dxfId="287" priority="242" stopIfTrue="1">
      <formula>$C22=1</formula>
    </cfRule>
    <cfRule type="expression" dxfId="286" priority="243" stopIfTrue="1">
      <formula>OR($C22=0,$C22=2,$C22=3,$C22=4)</formula>
    </cfRule>
    <cfRule type="expression" dxfId="285" priority="244" stopIfTrue="1">
      <formula>AND(TIPOORCAMENTO="Licitado",$C22&lt;&gt;"L",$C22&lt;&gt;-1)</formula>
    </cfRule>
  </conditionalFormatting>
  <conditionalFormatting sqref="P22:Q22 S22:T22 Y22 AG22:AH22">
    <cfRule type="expression" dxfId="284" priority="245" stopIfTrue="1">
      <formula>$C22=1</formula>
    </cfRule>
    <cfRule type="expression" dxfId="283" priority="246" stopIfTrue="1">
      <formula>OR($C22=0,$C22=2,$C22=3,$C22=4)</formula>
    </cfRule>
  </conditionalFormatting>
  <conditionalFormatting sqref="AJ22">
    <cfRule type="expression" dxfId="282" priority="247" stopIfTrue="1">
      <formula>OR(ACOMPANHAMENTO&lt;&gt;"BM",TIPOORCAMENTO="Licitado")</formula>
    </cfRule>
    <cfRule type="expression" dxfId="281" priority="248" stopIfTrue="1">
      <formula>$C22=1</formula>
    </cfRule>
    <cfRule type="expression" dxfId="280" priority="249" stopIfTrue="1">
      <formula>OR(AND(ISNUMBER($C22),$C22=0),$C22=2,$C22=3,$C22=4)</formula>
    </cfRule>
  </conditionalFormatting>
  <conditionalFormatting sqref="AL22">
    <cfRule type="expression" dxfId="279" priority="250" stopIfTrue="1">
      <formula>TIPOORCAMENTO="PROPOSTO"</formula>
    </cfRule>
    <cfRule type="expression" dxfId="278" priority="251" stopIfTrue="1">
      <formula>$C22=1</formula>
    </cfRule>
    <cfRule type="expression" dxfId="277" priority="252" stopIfTrue="1">
      <formula>OR(AND(ISNUMBER($C22),$C22=0),$C22=2,$C22=3,$C22=4)</formula>
    </cfRule>
  </conditionalFormatting>
  <conditionalFormatting sqref="AM22:AN22">
    <cfRule type="expression" dxfId="276" priority="253" stopIfTrue="1">
      <formula>TIPOORCAMENTO="PROPOSTO"</formula>
    </cfRule>
    <cfRule type="expression" dxfId="275" priority="254" stopIfTrue="1">
      <formula>$C22=1</formula>
    </cfRule>
    <cfRule type="expression" dxfId="274" priority="255" stopIfTrue="1">
      <formula>OR(AND(ISNUMBER($C22),$C22=0),$C22=2,$C22=3,$C22=4)</formula>
    </cfRule>
  </conditionalFormatting>
  <conditionalFormatting sqref="M24">
    <cfRule type="cellIs" dxfId="273" priority="205" stopIfTrue="1" operator="notEqual">
      <formula>$N24</formula>
    </cfRule>
  </conditionalFormatting>
  <conditionalFormatting sqref="W24:X24 R24 N24:O24">
    <cfRule type="expression" dxfId="272" priority="206" stopIfTrue="1">
      <formula>$C24=1</formula>
    </cfRule>
    <cfRule type="expression" dxfId="271" priority="207" stopIfTrue="1">
      <formula>OR($C24=0,$C24=2,$C24=3,$C24=4)</formula>
    </cfRule>
  </conditionalFormatting>
  <conditionalFormatting sqref="U24:V24">
    <cfRule type="expression" dxfId="270" priority="208" stopIfTrue="1">
      <formula>$C24=1</formula>
    </cfRule>
    <cfRule type="expression" dxfId="269" priority="209" stopIfTrue="1">
      <formula>OR($C24=0,$C24=2,$C24=3,$C24=4)</formula>
    </cfRule>
    <cfRule type="expression" dxfId="268" priority="210" stopIfTrue="1">
      <formula>AND(TIPOORCAMENTO="Licitado",$C24&lt;&gt;"L",$C24&lt;&gt;-1)</formula>
    </cfRule>
  </conditionalFormatting>
  <conditionalFormatting sqref="AG24:AH24 Y24 S24:T24 P24:Q24">
    <cfRule type="expression" dxfId="267" priority="211" stopIfTrue="1">
      <formula>$C24=1</formula>
    </cfRule>
    <cfRule type="expression" dxfId="266" priority="212" stopIfTrue="1">
      <formula>OR($C24=0,$C24=2,$C24=3,$C24=4)</formula>
    </cfRule>
  </conditionalFormatting>
  <conditionalFormatting sqref="AJ24">
    <cfRule type="expression" dxfId="265" priority="213" stopIfTrue="1">
      <formula>OR(ACOMPANHAMENTO&lt;&gt;"BM",TIPOORCAMENTO="Licitado")</formula>
    </cfRule>
    <cfRule type="expression" dxfId="264" priority="214" stopIfTrue="1">
      <formula>$C24=1</formula>
    </cfRule>
    <cfRule type="expression" dxfId="263" priority="215" stopIfTrue="1">
      <formula>OR(AND(ISNUMBER($C24),$C24=0),$C24=2,$C24=3,$C24=4)</formula>
    </cfRule>
  </conditionalFormatting>
  <conditionalFormatting sqref="AL24">
    <cfRule type="expression" dxfId="262" priority="216" stopIfTrue="1">
      <formula>TIPOORCAMENTO="PROPOSTO"</formula>
    </cfRule>
    <cfRule type="expression" dxfId="261" priority="217" stopIfTrue="1">
      <formula>$C24=1</formula>
    </cfRule>
    <cfRule type="expression" dxfId="260" priority="218" stopIfTrue="1">
      <formula>OR(AND(ISNUMBER($C24),$C24=0),$C24=2,$C24=3,$C24=4)</formula>
    </cfRule>
  </conditionalFormatting>
  <conditionalFormatting sqref="AM24:AN24">
    <cfRule type="expression" dxfId="259" priority="219" stopIfTrue="1">
      <formula>TIPOORCAMENTO="PROPOSTO"</formula>
    </cfRule>
    <cfRule type="expression" dxfId="258" priority="220" stopIfTrue="1">
      <formula>$C24=1</formula>
    </cfRule>
    <cfRule type="expression" dxfId="257" priority="221" stopIfTrue="1">
      <formula>OR(AND(ISNUMBER($C24),$C24=0),$C24=2,$C24=3,$C24=4)</formula>
    </cfRule>
  </conditionalFormatting>
  <conditionalFormatting sqref="M23">
    <cfRule type="cellIs" dxfId="256" priority="35" stopIfTrue="1" operator="notEqual">
      <formula>$N23</formula>
    </cfRule>
  </conditionalFormatting>
  <conditionalFormatting sqref="N23:O23 R23 W23:X23">
    <cfRule type="expression" dxfId="255" priority="36" stopIfTrue="1">
      <formula>$C23=1</formula>
    </cfRule>
    <cfRule type="expression" dxfId="254" priority="37" stopIfTrue="1">
      <formula>OR($C23=0,$C23=2,$C23=3,$C23=4)</formula>
    </cfRule>
  </conditionalFormatting>
  <conditionalFormatting sqref="U23:V23">
    <cfRule type="expression" dxfId="253" priority="38" stopIfTrue="1">
      <formula>$C23=1</formula>
    </cfRule>
    <cfRule type="expression" dxfId="252" priority="39" stopIfTrue="1">
      <formula>OR($C23=0,$C23=2,$C23=3,$C23=4)</formula>
    </cfRule>
    <cfRule type="expression" dxfId="251" priority="40" stopIfTrue="1">
      <formula>AND(TIPOORCAMENTO="Licitado",$C23&lt;&gt;"L",$C23&lt;&gt;-1)</formula>
    </cfRule>
  </conditionalFormatting>
  <conditionalFormatting sqref="P23:Q23 S23:T23 Y23 AG23:AH23">
    <cfRule type="expression" dxfId="250" priority="41" stopIfTrue="1">
      <formula>$C23=1</formula>
    </cfRule>
    <cfRule type="expression" dxfId="249" priority="42" stopIfTrue="1">
      <formula>OR($C23=0,$C23=2,$C23=3,$C23=4)</formula>
    </cfRule>
  </conditionalFormatting>
  <conditionalFormatting sqref="AJ23">
    <cfRule type="expression" dxfId="248" priority="43" stopIfTrue="1">
      <formula>OR(ACOMPANHAMENTO&lt;&gt;"BM",TIPOORCAMENTO="Licitado")</formula>
    </cfRule>
    <cfRule type="expression" dxfId="247" priority="44" stopIfTrue="1">
      <formula>$C23=1</formula>
    </cfRule>
    <cfRule type="expression" dxfId="246" priority="45" stopIfTrue="1">
      <formula>OR(AND(ISNUMBER($C23),$C23=0),$C23=2,$C23=3,$C23=4)</formula>
    </cfRule>
  </conditionalFormatting>
  <conditionalFormatting sqref="AL23">
    <cfRule type="expression" dxfId="245" priority="46" stopIfTrue="1">
      <formula>TIPOORCAMENTO="PROPOSTO"</formula>
    </cfRule>
    <cfRule type="expression" dxfId="244" priority="47" stopIfTrue="1">
      <formula>$C23=1</formula>
    </cfRule>
    <cfRule type="expression" dxfId="243" priority="48" stopIfTrue="1">
      <formula>OR(AND(ISNUMBER($C23),$C23=0),$C23=2,$C23=3,$C23=4)</formula>
    </cfRule>
  </conditionalFormatting>
  <conditionalFormatting sqref="AM23:AN23">
    <cfRule type="expression" dxfId="242" priority="49" stopIfTrue="1">
      <formula>TIPOORCAMENTO="PROPOSTO"</formula>
    </cfRule>
    <cfRule type="expression" dxfId="241" priority="50" stopIfTrue="1">
      <formula>$C23=1</formula>
    </cfRule>
    <cfRule type="expression" dxfId="240" priority="51" stopIfTrue="1">
      <formula>OR(AND(ISNUMBER($C23),$C23=0),$C23=2,$C23=3,$C23=4)</formula>
    </cfRule>
  </conditionalFormatting>
  <conditionalFormatting sqref="M20:M21">
    <cfRule type="cellIs" dxfId="239" priority="18" stopIfTrue="1" operator="notEqual">
      <formula>$N20</formula>
    </cfRule>
  </conditionalFormatting>
  <conditionalFormatting sqref="N20:O21 R20:R21 W20:X21">
    <cfRule type="expression" dxfId="238" priority="19" stopIfTrue="1">
      <formula>$C20=1</formula>
    </cfRule>
    <cfRule type="expression" dxfId="237" priority="20" stopIfTrue="1">
      <formula>OR($C20=0,$C20=2,$C20=3,$C20=4)</formula>
    </cfRule>
  </conditionalFormatting>
  <conditionalFormatting sqref="U20:V21">
    <cfRule type="expression" dxfId="236" priority="21" stopIfTrue="1">
      <formula>$C20=1</formula>
    </cfRule>
    <cfRule type="expression" dxfId="235" priority="22" stopIfTrue="1">
      <formula>OR($C20=0,$C20=2,$C20=3,$C20=4)</formula>
    </cfRule>
    <cfRule type="expression" dxfId="234" priority="23" stopIfTrue="1">
      <formula>AND(TIPOORCAMENTO="Licitado",$C20&lt;&gt;"L",$C20&lt;&gt;-1)</formula>
    </cfRule>
  </conditionalFormatting>
  <conditionalFormatting sqref="P20:Q21 S20:T21 Y20:Y21 AG20:AH21">
    <cfRule type="expression" dxfId="233" priority="24" stopIfTrue="1">
      <formula>$C20=1</formula>
    </cfRule>
    <cfRule type="expression" dxfId="232" priority="25" stopIfTrue="1">
      <formula>OR($C20=0,$C20=2,$C20=3,$C20=4)</formula>
    </cfRule>
  </conditionalFormatting>
  <conditionalFormatting sqref="AJ20:AJ21">
    <cfRule type="expression" dxfId="231" priority="26" stopIfTrue="1">
      <formula>OR(ACOMPANHAMENTO&lt;&gt;"BM",TIPOORCAMENTO="Licitado")</formula>
    </cfRule>
    <cfRule type="expression" dxfId="230" priority="27" stopIfTrue="1">
      <formula>$C20=1</formula>
    </cfRule>
    <cfRule type="expression" dxfId="229" priority="28" stopIfTrue="1">
      <formula>OR(AND(ISNUMBER($C20),$C20=0),$C20=2,$C20=3,$C20=4)</formula>
    </cfRule>
  </conditionalFormatting>
  <conditionalFormatting sqref="AL20:AL21">
    <cfRule type="expression" dxfId="228" priority="29" stopIfTrue="1">
      <formula>TIPOORCAMENTO="PROPOSTO"</formula>
    </cfRule>
    <cfRule type="expression" dxfId="227" priority="30" stopIfTrue="1">
      <formula>$C20=1</formula>
    </cfRule>
    <cfRule type="expression" dxfId="226" priority="31" stopIfTrue="1">
      <formula>OR(AND(ISNUMBER($C20),$C20=0),$C20=2,$C20=3,$C20=4)</formula>
    </cfRule>
  </conditionalFormatting>
  <conditionalFormatting sqref="AM20:AN21">
    <cfRule type="expression" dxfId="225" priority="32" stopIfTrue="1">
      <formula>TIPOORCAMENTO="PROPOSTO"</formula>
    </cfRule>
    <cfRule type="expression" dxfId="224" priority="33" stopIfTrue="1">
      <formula>$C20=1</formula>
    </cfRule>
    <cfRule type="expression" dxfId="223" priority="34" stopIfTrue="1">
      <formula>OR(AND(ISNUMBER($C20),$C20=0),$C20=2,$C20=3,$C20=4)</formula>
    </cfRule>
  </conditionalFormatting>
  <conditionalFormatting sqref="M28:M32">
    <cfRule type="cellIs" dxfId="222" priority="1" stopIfTrue="1" operator="notEqual">
      <formula>$N28</formula>
    </cfRule>
  </conditionalFormatting>
  <conditionalFormatting sqref="N28:O32 R28:R32 W28:X32">
    <cfRule type="expression" dxfId="221" priority="2" stopIfTrue="1">
      <formula>$C28=1</formula>
    </cfRule>
    <cfRule type="expression" dxfId="220" priority="3" stopIfTrue="1">
      <formula>OR($C28=0,$C28=2,$C28=3,$C28=4)</formula>
    </cfRule>
  </conditionalFormatting>
  <conditionalFormatting sqref="U28:V32">
    <cfRule type="expression" dxfId="219" priority="4" stopIfTrue="1">
      <formula>$C28=1</formula>
    </cfRule>
    <cfRule type="expression" dxfId="218" priority="5" stopIfTrue="1">
      <formula>OR($C28=0,$C28=2,$C28=3,$C28=4)</formula>
    </cfRule>
    <cfRule type="expression" dxfId="217" priority="6" stopIfTrue="1">
      <formula>AND(TIPOORCAMENTO="Licitado",$C28&lt;&gt;"L",$C28&lt;&gt;-1)</formula>
    </cfRule>
  </conditionalFormatting>
  <conditionalFormatting sqref="P28:Q32 S28:T32 Y28:Y32 AG28:AH32">
    <cfRule type="expression" dxfId="216" priority="7" stopIfTrue="1">
      <formula>$C28=1</formula>
    </cfRule>
    <cfRule type="expression" dxfId="215" priority="8" stopIfTrue="1">
      <formula>OR($C28=0,$C28=2,$C28=3,$C28=4)</formula>
    </cfRule>
  </conditionalFormatting>
  <conditionalFormatting sqref="AJ28:AJ32">
    <cfRule type="expression" dxfId="214" priority="9" stopIfTrue="1">
      <formula>OR(ACOMPANHAMENTO&lt;&gt;"BM",TIPOORCAMENTO="Licitado")</formula>
    </cfRule>
    <cfRule type="expression" dxfId="213" priority="10" stopIfTrue="1">
      <formula>$C28=1</formula>
    </cfRule>
    <cfRule type="expression" dxfId="212" priority="11" stopIfTrue="1">
      <formula>OR(AND(ISNUMBER($C28),$C28=0),$C28=2,$C28=3,$C28=4)</formula>
    </cfRule>
  </conditionalFormatting>
  <conditionalFormatting sqref="AL28:AL32">
    <cfRule type="expression" dxfId="211" priority="12" stopIfTrue="1">
      <formula>TIPOORCAMENTO="PROPOSTO"</formula>
    </cfRule>
    <cfRule type="expression" dxfId="210" priority="13" stopIfTrue="1">
      <formula>$C28=1</formula>
    </cfRule>
    <cfRule type="expression" dxfId="209" priority="14" stopIfTrue="1">
      <formula>OR(AND(ISNUMBER($C28),$C28=0),$C28=2,$C28=3,$C28=4)</formula>
    </cfRule>
  </conditionalFormatting>
  <conditionalFormatting sqref="AM28:AN32">
    <cfRule type="expression" dxfId="208" priority="15" stopIfTrue="1">
      <formula>TIPOORCAMENTO="PROPOSTO"</formula>
    </cfRule>
    <cfRule type="expression" dxfId="207" priority="16" stopIfTrue="1">
      <formula>$C28=1</formula>
    </cfRule>
    <cfRule type="expression" dxfId="206" priority="17" stopIfTrue="1">
      <formula>OR(AND(ISNUMBER($C28),$C28=0),$C28=2,$C28=3,$C28=4)</formula>
    </cfRule>
  </conditionalFormatting>
  <dataValidations count="7">
    <dataValidation type="decimal" operator="greaterThan" allowBlank="1" showErrorMessage="1" error="Apenas números decimais maiores que zero." sqref="U14 AJ14 AL14 AL16:AL32 U16:U32 AJ16:AJ32">
      <formula1>0</formula1>
      <formula2>0</formula2>
    </dataValidation>
    <dataValidation type="list" allowBlank="1" sqref="P14 P16:P32">
      <formula1>"SINAPI,SINAPI-I,SICRO,Composição,Cotação"</formula1>
      <formula2>0</formula2>
    </dataValidation>
    <dataValidation type="list" errorStyle="warning" allowBlank="1" showInputMessage="1" showErrorMessage="1" errorTitle="Aviso BDI" error="Selecione um dos 3 BDI da lista._x000a__x000a_Caso tenha mais de 3 BDI nesta Planilha Orçamentária digite apenas valor percentual." promptTitle="Legenda:" prompt="RA: Rateio proporcional entre Repasse e Contrapartida._x000a_RP: 100% Repasse_x000a_CP: 100% Contrapartida_x000a_OU: 100% Outros." sqref="Y14 Y16:Y32">
      <formula1>"RA,RP,CP,OU"</formula1>
      <formula2>0</formula2>
    </dataValidation>
    <dataValidation type="list" errorStyle="warning" allowBlank="1" showErrorMessage="1" errorTitle="Aviso BDI" error="Selecione um dos 3 BDI da lista._x000a__x000a_Caso tenha mais de 3 BDI nesta Planilha Orçamentária digite apenas valor percentual." sqref="V14 V16:V32">
      <mc:AlternateContent xmlns:x12ac="http://schemas.microsoft.com/office/spreadsheetml/2011/1/ac" xmlns:mc="http://schemas.openxmlformats.org/markup-compatibility/2006">
        <mc:Choice Requires="x12ac">
          <x12ac:list>BDI 1,BDI 2,BDI 3,"0,00%"</x12ac:list>
        </mc:Choice>
        <mc:Fallback>
          <formula1>"BDI 1,BDI 2,BDI 3,0,00%"</formula1>
        </mc:Fallback>
      </mc:AlternateContent>
      <formula2>0</formula2>
    </dataValidation>
    <dataValidation type="list" showErrorMessage="1" errorTitle="Erro de Entrada" error="Selecione somente os itens da lista." promptTitle="Nível:" prompt="Selecione na lista o nível de itemização da Planilha." sqref="M14 M16:M32">
      <formula1>"Meta,Nível 2,Nível 3,Nível 4,Serviço"</formula1>
      <formula2>0</formula2>
    </dataValidation>
    <dataValidation allowBlank="1" showInputMessage="1" showErrorMessage="1" prompt="A entrada de quantidades é feita na coluna AJ se acompanhamento por BM, ou na aba &quot;Memória de Cálculo/PLQ&quot; se acompanhamento por PLE." sqref="T14 T16:T32"/>
    <dataValidation allowBlank="1" showInputMessage="1" showErrorMessage="1" prompt="Para Orçamento Proposto, o Preço Unitário é resultado do produto do Custo Unitário pelo BDI._x000a_Para Orçamento Licitado, deve ser preenchido na Coluna AL." sqref="W14 W16:W32"/>
  </dataValidations>
  <printOptions horizontalCentered="1"/>
  <pageMargins left="0.78740157480314965" right="0.78740157480314965" top="0.78740157480314965" bottom="0.78740157480314965" header="0.59055118110236227" footer="0.59055118110236227"/>
  <pageSetup paperSize="9" scale="63" firstPageNumber="0" fitToHeight="0" orientation="landscape" r:id="rId1"/>
  <headerFooter alignWithMargins="0">
    <oddHeader>&amp;C&amp;14I</oddHeader>
    <oddFooter>&amp;LPMv3.0.4&amp;R&amp;P / &amp;N</oddFooter>
  </headerFooter>
  <colBreaks count="1" manualBreakCount="1">
    <brk id="25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8" r:id="rId4" name="CaixaArredQuant">
              <controlPr defaultSize="0" print="0" autoFill="0" autoLine="0" autoPict="0">
                <anchor moveWithCells="1" sizeWithCells="1">
                  <from>
                    <xdr:col>19</xdr:col>
                    <xdr:colOff>447675</xdr:colOff>
                    <xdr:row>9</xdr:row>
                    <xdr:rowOff>114300</xdr:rowOff>
                  </from>
                  <to>
                    <xdr:col>19</xdr:col>
                    <xdr:colOff>866775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5" name="CaixaArredCustoUnit">
              <controlPr defaultSize="0" print="0" autoFill="0" autoLine="0" autoPict="0">
                <anchor moveWithCells="1" sizeWithCells="1">
                  <from>
                    <xdr:col>20</xdr:col>
                    <xdr:colOff>438150</xdr:colOff>
                    <xdr:row>9</xdr:row>
                    <xdr:rowOff>114300</xdr:rowOff>
                  </from>
                  <to>
                    <xdr:col>20</xdr:col>
                    <xdr:colOff>857250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6" name="CaixaArredBDI">
              <controlPr defaultSize="0" print="0" autoFill="0" autoLine="0" autoPict="0">
                <anchor moveWithCells="1" sizeWithCells="1">
                  <from>
                    <xdr:col>21</xdr:col>
                    <xdr:colOff>276225</xdr:colOff>
                    <xdr:row>9</xdr:row>
                    <xdr:rowOff>114300</xdr:rowOff>
                  </from>
                  <to>
                    <xdr:col>21</xdr:col>
                    <xdr:colOff>695325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7" name="CaixaArredPrecoUnit">
              <controlPr defaultSize="0" print="0" autoFill="0" autoLine="0" autoPict="0">
                <anchor moveWithCells="1" sizeWithCells="1">
                  <from>
                    <xdr:col>22</xdr:col>
                    <xdr:colOff>352425</xdr:colOff>
                    <xdr:row>9</xdr:row>
                    <xdr:rowOff>114300</xdr:rowOff>
                  </from>
                  <to>
                    <xdr:col>22</xdr:col>
                    <xdr:colOff>771525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8" name="CaixaArredPrecoTotal">
              <controlPr defaultSize="0" print="0" autoFill="0" autoLine="0" autoPict="0">
                <anchor moveWithCells="1" sizeWithCells="1">
                  <from>
                    <xdr:col>23</xdr:col>
                    <xdr:colOff>438150</xdr:colOff>
                    <xdr:row>9</xdr:row>
                    <xdr:rowOff>104775</xdr:rowOff>
                  </from>
                  <to>
                    <xdr:col>23</xdr:col>
                    <xdr:colOff>857250</xdr:colOff>
                    <xdr:row>11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HK65294"/>
  <sheetViews>
    <sheetView showGridLines="0" zoomScale="80" zoomScaleNormal="80" zoomScaleSheetLayoutView="90" workbookViewId="0">
      <pane xSplit="8" ySplit="15" topLeftCell="I18" activePane="bottomRight" state="frozen"/>
      <selection activeCell="C1" sqref="C1"/>
      <selection pane="topRight" activeCell="I1" sqref="I1"/>
      <selection pane="bottomLeft" activeCell="C16" sqref="C16"/>
      <selection pane="bottomRight" activeCell="I21" sqref="I21"/>
    </sheetView>
  </sheetViews>
  <sheetFormatPr defaultRowHeight="0" customHeight="1" zeroHeight="1" x14ac:dyDescent="0.2"/>
  <cols>
    <col min="1" max="2" width="0" style="9" hidden="1" customWidth="1"/>
    <col min="3" max="3" width="3.7109375" style="9" customWidth="1"/>
    <col min="4" max="4" width="8.7109375" customWidth="1"/>
    <col min="5" max="5" width="12.7109375" customWidth="1"/>
    <col min="6" max="6" width="65.7109375" customWidth="1"/>
    <col min="7" max="7" width="10.7109375" customWidth="1"/>
    <col min="8" max="8" width="14.7109375" customWidth="1"/>
    <col min="9" max="9" width="29.7109375" customWidth="1"/>
    <col min="10" max="10" width="1.7109375" customWidth="1"/>
    <col min="11" max="11" width="4.7109375" customWidth="1"/>
    <col min="12" max="12" width="0.85546875" customWidth="1"/>
    <col min="13" max="13" width="9.140625" style="9" hidden="1" customWidth="1"/>
    <col min="14" max="14" width="31.7109375" customWidth="1"/>
    <col min="15" max="15" width="0" hidden="1" customWidth="1"/>
    <col min="16" max="16" width="1.7109375" customWidth="1"/>
    <col min="17" max="66" width="11.7109375" customWidth="1"/>
    <col min="67" max="67" width="0.140625" customWidth="1"/>
    <col min="68" max="219" width="0" hidden="1" customWidth="1"/>
    <col min="220" max="220" width="1.7109375" customWidth="1"/>
  </cols>
  <sheetData>
    <row r="1" spans="1:219" ht="15.75" customHeight="1" x14ac:dyDescent="0.2">
      <c r="F1" s="716" t="str">
        <f>IF(ACOMPANHAMENTO="BM","MEMÓRIA DE CÁLCULO","PLQ - PLANILHA DE LEVANTAMENTO DE QUANTIDADES")</f>
        <v>PLQ - PLANILHA DE LEVANTAMENTO DE QUANTIDADES</v>
      </c>
      <c r="G1" s="716"/>
      <c r="H1" s="716"/>
      <c r="I1" s="175"/>
      <c r="K1" s="175"/>
      <c r="L1" s="175"/>
      <c r="M1" s="176"/>
      <c r="N1" s="175"/>
      <c r="P1" s="175"/>
      <c r="Q1" s="699" t="s">
        <v>141</v>
      </c>
      <c r="R1" s="699"/>
      <c r="Y1" s="699" t="s">
        <v>141</v>
      </c>
      <c r="Z1" s="699"/>
      <c r="AG1" s="699" t="s">
        <v>141</v>
      </c>
      <c r="AH1" s="699"/>
      <c r="AO1" s="699" t="s">
        <v>141</v>
      </c>
      <c r="AP1" s="699"/>
      <c r="AW1" s="699" t="s">
        <v>141</v>
      </c>
      <c r="AX1" s="699"/>
      <c r="BE1" s="699" t="s">
        <v>141</v>
      </c>
      <c r="BF1" s="699"/>
      <c r="BM1" s="699" t="s">
        <v>141</v>
      </c>
      <c r="BN1" s="699"/>
    </row>
    <row r="2" spans="1:219" ht="15" customHeight="1" x14ac:dyDescent="0.2">
      <c r="F2" s="717" t="str">
        <f>IF(ACOMPANHAMENTO="BM","","Memória de Cálculo")&amp;" - "&amp;import.recurso</f>
        <v>Memória de Cálculo - OGU</v>
      </c>
      <c r="G2" s="717"/>
      <c r="H2" s="717"/>
      <c r="I2" s="177"/>
      <c r="K2" s="177"/>
      <c r="L2" s="177"/>
      <c r="M2" s="178"/>
      <c r="N2" s="177"/>
      <c r="P2" s="177"/>
      <c r="Q2" s="700" t="s">
        <v>144</v>
      </c>
      <c r="R2" s="700"/>
      <c r="Y2" s="700" t="s">
        <v>144</v>
      </c>
      <c r="Z2" s="700"/>
      <c r="AG2" s="700" t="s">
        <v>144</v>
      </c>
      <c r="AH2" s="700"/>
      <c r="AO2" s="700" t="s">
        <v>144</v>
      </c>
      <c r="AP2" s="700"/>
      <c r="AW2" s="700" t="s">
        <v>144</v>
      </c>
      <c r="AX2" s="700"/>
      <c r="BE2" s="700" t="s">
        <v>144</v>
      </c>
      <c r="BF2" s="700"/>
      <c r="BM2" s="700" t="s">
        <v>144</v>
      </c>
      <c r="BN2" s="700"/>
    </row>
    <row r="3" spans="1:219" ht="12.75" customHeight="1" x14ac:dyDescent="0.2"/>
    <row r="4" spans="1:219" ht="12.75" customHeight="1" x14ac:dyDescent="0.2">
      <c r="E4" s="689" t="s">
        <v>204</v>
      </c>
      <c r="F4" s="689"/>
      <c r="G4" s="689" t="s">
        <v>148</v>
      </c>
      <c r="H4" s="689"/>
      <c r="I4" s="107" t="s">
        <v>147</v>
      </c>
      <c r="K4" s="179" t="s">
        <v>149</v>
      </c>
      <c r="L4" s="180"/>
      <c r="M4" s="180"/>
      <c r="N4" s="180"/>
      <c r="O4" s="180"/>
      <c r="P4" s="180"/>
      <c r="Q4" s="180"/>
      <c r="R4" s="181"/>
      <c r="S4" s="689" t="s">
        <v>147</v>
      </c>
      <c r="T4" s="689"/>
      <c r="U4" s="689" t="s">
        <v>149</v>
      </c>
      <c r="V4" s="689"/>
      <c r="W4" s="689"/>
      <c r="X4" s="689"/>
      <c r="Y4" s="689"/>
      <c r="Z4" s="689"/>
      <c r="AA4" s="689" t="s">
        <v>147</v>
      </c>
      <c r="AB4" s="689"/>
      <c r="AC4" s="689" t="s">
        <v>149</v>
      </c>
      <c r="AD4" s="689"/>
      <c r="AE4" s="689"/>
      <c r="AF4" s="689"/>
      <c r="AG4" s="689"/>
      <c r="AH4" s="689"/>
      <c r="AI4" s="689" t="s">
        <v>147</v>
      </c>
      <c r="AJ4" s="689"/>
      <c r="AK4" s="689" t="s">
        <v>149</v>
      </c>
      <c r="AL4" s="689"/>
      <c r="AM4" s="689"/>
      <c r="AN4" s="689"/>
      <c r="AO4" s="689"/>
      <c r="AP4" s="689"/>
      <c r="AQ4" s="689" t="s">
        <v>147</v>
      </c>
      <c r="AR4" s="689"/>
      <c r="AS4" s="689" t="s">
        <v>149</v>
      </c>
      <c r="AT4" s="689"/>
      <c r="AU4" s="689"/>
      <c r="AV4" s="689"/>
      <c r="AW4" s="689"/>
      <c r="AX4" s="689"/>
      <c r="AY4" s="689" t="s">
        <v>147</v>
      </c>
      <c r="AZ4" s="689"/>
      <c r="BA4" s="689" t="s">
        <v>149</v>
      </c>
      <c r="BB4" s="689"/>
      <c r="BC4" s="689"/>
      <c r="BD4" s="689"/>
      <c r="BE4" s="689"/>
      <c r="BF4" s="689"/>
      <c r="BG4" s="689" t="s">
        <v>147</v>
      </c>
      <c r="BH4" s="689"/>
      <c r="BI4" s="689" t="s">
        <v>149</v>
      </c>
      <c r="BJ4" s="689"/>
      <c r="BK4" s="689"/>
      <c r="BL4" s="689"/>
      <c r="BM4" s="689"/>
      <c r="BN4" s="689"/>
    </row>
    <row r="5" spans="1:219" ht="12.75" customHeight="1" x14ac:dyDescent="0.2">
      <c r="E5" s="698" t="str">
        <f>Import.Apelido</f>
        <v>Adequação de Estradas Vicinais</v>
      </c>
      <c r="F5" s="698"/>
      <c r="G5" s="698" t="str">
        <f>Import.SICONV</f>
        <v>950338/2023</v>
      </c>
      <c r="H5" s="698"/>
      <c r="I5" s="113" t="str">
        <f>Import.CR</f>
        <v>1090.502-01/2023</v>
      </c>
      <c r="K5" s="182" t="str">
        <f>Import.Proponente</f>
        <v>PREFEITURA MUNICIPAL DE CONCEIÇÃO DOS OUROS</v>
      </c>
      <c r="L5" s="183"/>
      <c r="M5" s="125"/>
      <c r="N5" s="183"/>
      <c r="O5" s="183"/>
      <c r="P5" s="183"/>
      <c r="Q5" s="183"/>
      <c r="R5" s="114"/>
      <c r="S5" s="698" t="str">
        <f>Import.CR</f>
        <v>1090.502-01/2023</v>
      </c>
      <c r="T5" s="698"/>
      <c r="U5" s="698" t="str">
        <f>Import.Proponente</f>
        <v>PREFEITURA MUNICIPAL DE CONCEIÇÃO DOS OUROS</v>
      </c>
      <c r="V5" s="698"/>
      <c r="W5" s="698"/>
      <c r="X5" s="698"/>
      <c r="Y5" s="698"/>
      <c r="Z5" s="698"/>
      <c r="AA5" s="698" t="str">
        <f>Import.CR</f>
        <v>1090.502-01/2023</v>
      </c>
      <c r="AB5" s="698"/>
      <c r="AC5" s="698" t="str">
        <f>Import.Proponente</f>
        <v>PREFEITURA MUNICIPAL DE CONCEIÇÃO DOS OUROS</v>
      </c>
      <c r="AD5" s="698"/>
      <c r="AE5" s="698"/>
      <c r="AF5" s="698"/>
      <c r="AG5" s="698"/>
      <c r="AH5" s="698"/>
      <c r="AI5" s="698" t="str">
        <f>Import.CR</f>
        <v>1090.502-01/2023</v>
      </c>
      <c r="AJ5" s="698"/>
      <c r="AK5" s="698" t="str">
        <f>Import.Proponente</f>
        <v>PREFEITURA MUNICIPAL DE CONCEIÇÃO DOS OUROS</v>
      </c>
      <c r="AL5" s="698"/>
      <c r="AM5" s="698"/>
      <c r="AN5" s="698"/>
      <c r="AO5" s="698"/>
      <c r="AP5" s="698"/>
      <c r="AQ5" s="698" t="str">
        <f>Import.CR</f>
        <v>1090.502-01/2023</v>
      </c>
      <c r="AR5" s="698"/>
      <c r="AS5" s="698" t="str">
        <f>Import.Proponente</f>
        <v>PREFEITURA MUNICIPAL DE CONCEIÇÃO DOS OUROS</v>
      </c>
      <c r="AT5" s="698"/>
      <c r="AU5" s="698"/>
      <c r="AV5" s="698"/>
      <c r="AW5" s="698"/>
      <c r="AX5" s="698"/>
      <c r="AY5" s="698" t="str">
        <f>Import.CR</f>
        <v>1090.502-01/2023</v>
      </c>
      <c r="AZ5" s="698"/>
      <c r="BA5" s="698" t="str">
        <f>Import.Proponente</f>
        <v>PREFEITURA MUNICIPAL DE CONCEIÇÃO DOS OUROS</v>
      </c>
      <c r="BB5" s="698"/>
      <c r="BC5" s="698"/>
      <c r="BD5" s="698"/>
      <c r="BE5" s="698"/>
      <c r="BF5" s="698"/>
      <c r="BG5" s="698" t="str">
        <f>Import.CR</f>
        <v>1090.502-01/2023</v>
      </c>
      <c r="BH5" s="698"/>
      <c r="BI5" s="698" t="str">
        <f>Import.Proponente</f>
        <v>PREFEITURA MUNICIPAL DE CONCEIÇÃO DOS OUROS</v>
      </c>
      <c r="BJ5" s="698"/>
      <c r="BK5" s="698"/>
      <c r="BL5" s="698"/>
      <c r="BM5" s="698"/>
      <c r="BN5" s="698"/>
    </row>
    <row r="6" spans="1:219" ht="12.75" customHeight="1" x14ac:dyDescent="0.2">
      <c r="BP6" t="s">
        <v>253</v>
      </c>
      <c r="DO6" t="s">
        <v>254</v>
      </c>
      <c r="FN6" t="s">
        <v>255</v>
      </c>
    </row>
    <row r="7" spans="1:219" ht="12.75" hidden="1" customHeight="1" x14ac:dyDescent="0.2"/>
    <row r="8" spans="1:219" ht="12.75" hidden="1" customHeight="1" x14ac:dyDescent="0.2"/>
    <row r="9" spans="1:219" ht="12.75" hidden="1" customHeight="1" x14ac:dyDescent="0.2"/>
    <row r="10" spans="1:219" ht="12.75" hidden="1" customHeight="1" x14ac:dyDescent="0.2"/>
    <row r="11" spans="1:219" ht="12.75" hidden="1" customHeight="1" x14ac:dyDescent="0.2"/>
    <row r="12" spans="1:219" ht="69.95" customHeight="1" x14ac:dyDescent="0.2">
      <c r="A12" s="184">
        <f ca="1">IF(OFFSET(EVENTOS!$C$5,1,0)="Automática, conforme os agrupadores Nível 4 do Orçamento",4,IF(OFFSET(EVENTOS!$C$5,1,0)="Automática, conforme os agrupadores Nível 3 do Orçamento",3,IF(OFFSET(EVENTOS!$C$5,1,0)="Definir Manualmente","Manual",2)))</f>
        <v>2</v>
      </c>
      <c r="B12" s="9" t="s">
        <v>256</v>
      </c>
      <c r="H12" s="185"/>
      <c r="I12" s="186"/>
      <c r="J12" s="187" t="s">
        <v>257</v>
      </c>
      <c r="K12" s="188" t="s">
        <v>258</v>
      </c>
      <c r="L12" s="187" t="s">
        <v>257</v>
      </c>
      <c r="M12" s="189">
        <f ca="1">IF(ACOMPANHAMENTO="BM",0,COUNTIF(M15:M33,0))</f>
        <v>0</v>
      </c>
      <c r="N12" s="186" t="s">
        <v>259</v>
      </c>
      <c r="O12" s="190"/>
      <c r="P12" s="187" t="s">
        <v>257</v>
      </c>
      <c r="Q12" s="626" t="s">
        <v>466</v>
      </c>
      <c r="R12" s="626" t="s">
        <v>467</v>
      </c>
      <c r="S12" s="190" t="s">
        <v>465</v>
      </c>
      <c r="T12" s="190"/>
      <c r="U12" s="190"/>
      <c r="V12" s="190"/>
      <c r="W12" s="191"/>
      <c r="X12" s="190"/>
      <c r="Y12" s="190"/>
      <c r="Z12" s="190"/>
      <c r="AA12" s="190"/>
      <c r="AB12" s="190"/>
      <c r="AC12" s="190"/>
      <c r="AD12" s="190"/>
      <c r="AE12" s="191"/>
      <c r="AF12" s="190"/>
      <c r="AG12" s="190"/>
      <c r="AH12" s="190"/>
      <c r="AI12" s="190"/>
      <c r="AJ12" s="190"/>
      <c r="AK12" s="190"/>
      <c r="AL12" s="190"/>
      <c r="AM12" s="191"/>
      <c r="AN12" s="191"/>
      <c r="AO12" s="190"/>
      <c r="AP12" s="190"/>
      <c r="AQ12" s="190"/>
      <c r="AR12" s="190"/>
      <c r="AS12" s="190"/>
      <c r="AT12" s="190"/>
      <c r="AU12" s="190"/>
      <c r="AV12" s="191"/>
      <c r="AW12" s="190"/>
      <c r="AX12" s="191"/>
      <c r="AY12" s="190"/>
      <c r="AZ12" s="190"/>
      <c r="BA12" s="191"/>
      <c r="BB12" s="191"/>
      <c r="BC12" s="190"/>
      <c r="BD12" s="190"/>
      <c r="BE12" s="190"/>
      <c r="BF12" s="190"/>
      <c r="BG12" s="190"/>
      <c r="BH12" s="190"/>
      <c r="BI12" s="191"/>
      <c r="BJ12" s="190"/>
      <c r="BK12" s="190"/>
      <c r="BL12" s="190"/>
      <c r="BM12" s="190"/>
      <c r="BN12" s="191"/>
      <c r="BO12" s="187" t="s">
        <v>257</v>
      </c>
      <c r="BP12" s="192" t="str">
        <f ca="1">OFFSET($P$12,0,BP$13)</f>
        <v>TRÊS CRUZES 1ª ETAPA</v>
      </c>
      <c r="BQ12" s="193" t="str">
        <f t="shared" ref="BQ12:DM12" ca="1" si="0">OFFSET($P$12,0,BQ$13)</f>
        <v>CESÁRIOS (FAZ. SANTA TEREZINHA) 2ª ETAPA</v>
      </c>
      <c r="BR12" s="193" t="str">
        <f t="shared" ca="1" si="0"/>
        <v>ACESSO CESÁRIOS 3ª ETAPA</v>
      </c>
      <c r="BS12" s="193">
        <f t="shared" ca="1" si="0"/>
        <v>0</v>
      </c>
      <c r="BT12" s="193">
        <f t="shared" ca="1" si="0"/>
        <v>0</v>
      </c>
      <c r="BU12" s="193">
        <f t="shared" ca="1" si="0"/>
        <v>0</v>
      </c>
      <c r="BV12" s="193">
        <f t="shared" ca="1" si="0"/>
        <v>0</v>
      </c>
      <c r="BW12" s="193">
        <f t="shared" ca="1" si="0"/>
        <v>0</v>
      </c>
      <c r="BX12" s="193">
        <f t="shared" ca="1" si="0"/>
        <v>0</v>
      </c>
      <c r="BY12" s="194">
        <f t="shared" ca="1" si="0"/>
        <v>0</v>
      </c>
      <c r="BZ12" s="193">
        <f t="shared" ca="1" si="0"/>
        <v>0</v>
      </c>
      <c r="CA12" s="193">
        <f t="shared" ca="1" si="0"/>
        <v>0</v>
      </c>
      <c r="CB12" s="193">
        <f t="shared" ca="1" si="0"/>
        <v>0</v>
      </c>
      <c r="CC12" s="193">
        <f t="shared" ca="1" si="0"/>
        <v>0</v>
      </c>
      <c r="CD12" s="193">
        <f t="shared" ca="1" si="0"/>
        <v>0</v>
      </c>
      <c r="CE12" s="193">
        <f t="shared" ca="1" si="0"/>
        <v>0</v>
      </c>
      <c r="CF12" s="193">
        <f t="shared" ca="1" si="0"/>
        <v>0</v>
      </c>
      <c r="CG12" s="194">
        <f t="shared" ca="1" si="0"/>
        <v>0</v>
      </c>
      <c r="CH12" s="193">
        <f t="shared" ca="1" si="0"/>
        <v>0</v>
      </c>
      <c r="CI12" s="193">
        <f t="shared" ca="1" si="0"/>
        <v>0</v>
      </c>
      <c r="CJ12" s="193">
        <f t="shared" ca="1" si="0"/>
        <v>0</v>
      </c>
      <c r="CK12" s="193">
        <f t="shared" ca="1" si="0"/>
        <v>0</v>
      </c>
      <c r="CL12" s="193">
        <f t="shared" ca="1" si="0"/>
        <v>0</v>
      </c>
      <c r="CM12" s="193">
        <f t="shared" ca="1" si="0"/>
        <v>0</v>
      </c>
      <c r="CN12" s="193">
        <f t="shared" ca="1" si="0"/>
        <v>0</v>
      </c>
      <c r="CO12" s="194">
        <f t="shared" ca="1" si="0"/>
        <v>0</v>
      </c>
      <c r="CP12" s="193">
        <f t="shared" ca="1" si="0"/>
        <v>0</v>
      </c>
      <c r="CQ12" s="193">
        <f t="shared" ca="1" si="0"/>
        <v>0</v>
      </c>
      <c r="CR12" s="193">
        <f t="shared" ca="1" si="0"/>
        <v>0</v>
      </c>
      <c r="CS12" s="193">
        <f t="shared" ca="1" si="0"/>
        <v>0</v>
      </c>
      <c r="CT12" s="193">
        <f t="shared" ca="1" si="0"/>
        <v>0</v>
      </c>
      <c r="CU12" s="193">
        <f t="shared" ca="1" si="0"/>
        <v>0</v>
      </c>
      <c r="CV12" s="193">
        <f t="shared" ca="1" si="0"/>
        <v>0</v>
      </c>
      <c r="CW12" s="194">
        <f t="shared" ca="1" si="0"/>
        <v>0</v>
      </c>
      <c r="CX12" s="193">
        <f t="shared" ca="1" si="0"/>
        <v>0</v>
      </c>
      <c r="CY12" s="193">
        <f t="shared" ca="1" si="0"/>
        <v>0</v>
      </c>
      <c r="CZ12" s="193">
        <f t="shared" ca="1" si="0"/>
        <v>0</v>
      </c>
      <c r="DA12" s="193">
        <f t="shared" ca="1" si="0"/>
        <v>0</v>
      </c>
      <c r="DB12" s="193">
        <f t="shared" ca="1" si="0"/>
        <v>0</v>
      </c>
      <c r="DC12" s="193">
        <f t="shared" ca="1" si="0"/>
        <v>0</v>
      </c>
      <c r="DD12" s="193">
        <f t="shared" ca="1" si="0"/>
        <v>0</v>
      </c>
      <c r="DE12" s="194">
        <f t="shared" ca="1" si="0"/>
        <v>0</v>
      </c>
      <c r="DF12" s="193">
        <f t="shared" ca="1" si="0"/>
        <v>0</v>
      </c>
      <c r="DG12" s="193">
        <f t="shared" ca="1" si="0"/>
        <v>0</v>
      </c>
      <c r="DH12" s="193">
        <f t="shared" ca="1" si="0"/>
        <v>0</v>
      </c>
      <c r="DI12" s="193">
        <f t="shared" ca="1" si="0"/>
        <v>0</v>
      </c>
      <c r="DJ12" s="193">
        <f t="shared" ca="1" si="0"/>
        <v>0</v>
      </c>
      <c r="DK12" s="193">
        <f t="shared" ca="1" si="0"/>
        <v>0</v>
      </c>
      <c r="DL12" s="193">
        <f t="shared" ca="1" si="0"/>
        <v>0</v>
      </c>
      <c r="DM12" s="194">
        <f t="shared" ca="1" si="0"/>
        <v>0</v>
      </c>
      <c r="DO12" s="192" t="str">
        <f ca="1">OFFSET($P$12,0,DO$13)</f>
        <v>TRÊS CRUZES 1ª ETAPA</v>
      </c>
      <c r="DP12" s="193" t="str">
        <f t="shared" ref="DP12:FL12" ca="1" si="1">OFFSET($P$12,0,DP$13)</f>
        <v>CESÁRIOS (FAZ. SANTA TEREZINHA) 2ª ETAPA</v>
      </c>
      <c r="DQ12" s="193" t="str">
        <f t="shared" ca="1" si="1"/>
        <v>ACESSO CESÁRIOS 3ª ETAPA</v>
      </c>
      <c r="DR12" s="193">
        <f t="shared" ca="1" si="1"/>
        <v>0</v>
      </c>
      <c r="DS12" s="193">
        <f t="shared" ca="1" si="1"/>
        <v>0</v>
      </c>
      <c r="DT12" s="193">
        <f t="shared" ca="1" si="1"/>
        <v>0</v>
      </c>
      <c r="DU12" s="193">
        <f t="shared" ca="1" si="1"/>
        <v>0</v>
      </c>
      <c r="DV12" s="193">
        <f t="shared" ca="1" si="1"/>
        <v>0</v>
      </c>
      <c r="DW12" s="193">
        <f t="shared" ca="1" si="1"/>
        <v>0</v>
      </c>
      <c r="DX12" s="194">
        <f t="shared" ca="1" si="1"/>
        <v>0</v>
      </c>
      <c r="DY12" s="193">
        <f t="shared" ca="1" si="1"/>
        <v>0</v>
      </c>
      <c r="DZ12" s="193">
        <f t="shared" ca="1" si="1"/>
        <v>0</v>
      </c>
      <c r="EA12" s="193">
        <f t="shared" ca="1" si="1"/>
        <v>0</v>
      </c>
      <c r="EB12" s="193">
        <f t="shared" ca="1" si="1"/>
        <v>0</v>
      </c>
      <c r="EC12" s="193">
        <f t="shared" ca="1" si="1"/>
        <v>0</v>
      </c>
      <c r="ED12" s="193">
        <f t="shared" ca="1" si="1"/>
        <v>0</v>
      </c>
      <c r="EE12" s="193">
        <f t="shared" ca="1" si="1"/>
        <v>0</v>
      </c>
      <c r="EF12" s="194">
        <f t="shared" ca="1" si="1"/>
        <v>0</v>
      </c>
      <c r="EG12" s="193">
        <f t="shared" ca="1" si="1"/>
        <v>0</v>
      </c>
      <c r="EH12" s="193">
        <f t="shared" ca="1" si="1"/>
        <v>0</v>
      </c>
      <c r="EI12" s="193">
        <f t="shared" ca="1" si="1"/>
        <v>0</v>
      </c>
      <c r="EJ12" s="193">
        <f t="shared" ca="1" si="1"/>
        <v>0</v>
      </c>
      <c r="EK12" s="193">
        <f t="shared" ca="1" si="1"/>
        <v>0</v>
      </c>
      <c r="EL12" s="193">
        <f t="shared" ca="1" si="1"/>
        <v>0</v>
      </c>
      <c r="EM12" s="193">
        <f t="shared" ca="1" si="1"/>
        <v>0</v>
      </c>
      <c r="EN12" s="194">
        <f t="shared" ca="1" si="1"/>
        <v>0</v>
      </c>
      <c r="EO12" s="193">
        <f t="shared" ca="1" si="1"/>
        <v>0</v>
      </c>
      <c r="EP12" s="193">
        <f t="shared" ca="1" si="1"/>
        <v>0</v>
      </c>
      <c r="EQ12" s="193">
        <f t="shared" ca="1" si="1"/>
        <v>0</v>
      </c>
      <c r="ER12" s="193">
        <f t="shared" ca="1" si="1"/>
        <v>0</v>
      </c>
      <c r="ES12" s="193">
        <f t="shared" ca="1" si="1"/>
        <v>0</v>
      </c>
      <c r="ET12" s="193">
        <f t="shared" ca="1" si="1"/>
        <v>0</v>
      </c>
      <c r="EU12" s="193">
        <f t="shared" ca="1" si="1"/>
        <v>0</v>
      </c>
      <c r="EV12" s="194">
        <f t="shared" ca="1" si="1"/>
        <v>0</v>
      </c>
      <c r="EW12" s="193">
        <f t="shared" ca="1" si="1"/>
        <v>0</v>
      </c>
      <c r="EX12" s="193">
        <f t="shared" ca="1" si="1"/>
        <v>0</v>
      </c>
      <c r="EY12" s="193">
        <f t="shared" ca="1" si="1"/>
        <v>0</v>
      </c>
      <c r="EZ12" s="193">
        <f t="shared" ca="1" si="1"/>
        <v>0</v>
      </c>
      <c r="FA12" s="193">
        <f t="shared" ca="1" si="1"/>
        <v>0</v>
      </c>
      <c r="FB12" s="193">
        <f t="shared" ca="1" si="1"/>
        <v>0</v>
      </c>
      <c r="FC12" s="193">
        <f t="shared" ca="1" si="1"/>
        <v>0</v>
      </c>
      <c r="FD12" s="194">
        <f t="shared" ca="1" si="1"/>
        <v>0</v>
      </c>
      <c r="FE12" s="193">
        <f t="shared" ca="1" si="1"/>
        <v>0</v>
      </c>
      <c r="FF12" s="193">
        <f t="shared" ca="1" si="1"/>
        <v>0</v>
      </c>
      <c r="FG12" s="193">
        <f t="shared" ca="1" si="1"/>
        <v>0</v>
      </c>
      <c r="FH12" s="193">
        <f t="shared" ca="1" si="1"/>
        <v>0</v>
      </c>
      <c r="FI12" s="193">
        <f t="shared" ca="1" si="1"/>
        <v>0</v>
      </c>
      <c r="FJ12" s="193">
        <f t="shared" ca="1" si="1"/>
        <v>0</v>
      </c>
      <c r="FK12" s="193">
        <f t="shared" ca="1" si="1"/>
        <v>0</v>
      </c>
      <c r="FL12" s="194">
        <f t="shared" ca="1" si="1"/>
        <v>0</v>
      </c>
      <c r="FN12" s="192" t="str">
        <f ca="1">OFFSET($P$12,0,FN$13)</f>
        <v>TRÊS CRUZES 1ª ETAPA</v>
      </c>
      <c r="FO12" s="193" t="str">
        <f t="shared" ref="FO12:HK12" ca="1" si="2">OFFSET($P$12,0,FO$13)</f>
        <v>CESÁRIOS (FAZ. SANTA TEREZINHA) 2ª ETAPA</v>
      </c>
      <c r="FP12" s="193" t="str">
        <f t="shared" ca="1" si="2"/>
        <v>ACESSO CESÁRIOS 3ª ETAPA</v>
      </c>
      <c r="FQ12" s="193">
        <f t="shared" ca="1" si="2"/>
        <v>0</v>
      </c>
      <c r="FR12" s="193">
        <f t="shared" ca="1" si="2"/>
        <v>0</v>
      </c>
      <c r="FS12" s="193">
        <f t="shared" ca="1" si="2"/>
        <v>0</v>
      </c>
      <c r="FT12" s="193">
        <f t="shared" ca="1" si="2"/>
        <v>0</v>
      </c>
      <c r="FU12" s="193">
        <f t="shared" ca="1" si="2"/>
        <v>0</v>
      </c>
      <c r="FV12" s="193">
        <f t="shared" ca="1" si="2"/>
        <v>0</v>
      </c>
      <c r="FW12" s="194">
        <f t="shared" ca="1" si="2"/>
        <v>0</v>
      </c>
      <c r="FX12" s="193">
        <f t="shared" ca="1" si="2"/>
        <v>0</v>
      </c>
      <c r="FY12" s="193">
        <f t="shared" ca="1" si="2"/>
        <v>0</v>
      </c>
      <c r="FZ12" s="193">
        <f t="shared" ca="1" si="2"/>
        <v>0</v>
      </c>
      <c r="GA12" s="193">
        <f t="shared" ca="1" si="2"/>
        <v>0</v>
      </c>
      <c r="GB12" s="193">
        <f t="shared" ca="1" si="2"/>
        <v>0</v>
      </c>
      <c r="GC12" s="193">
        <f t="shared" ca="1" si="2"/>
        <v>0</v>
      </c>
      <c r="GD12" s="193">
        <f t="shared" ca="1" si="2"/>
        <v>0</v>
      </c>
      <c r="GE12" s="194">
        <f t="shared" ca="1" si="2"/>
        <v>0</v>
      </c>
      <c r="GF12" s="193">
        <f t="shared" ca="1" si="2"/>
        <v>0</v>
      </c>
      <c r="GG12" s="193">
        <f t="shared" ca="1" si="2"/>
        <v>0</v>
      </c>
      <c r="GH12" s="193">
        <f t="shared" ca="1" si="2"/>
        <v>0</v>
      </c>
      <c r="GI12" s="193">
        <f t="shared" ca="1" si="2"/>
        <v>0</v>
      </c>
      <c r="GJ12" s="193">
        <f t="shared" ca="1" si="2"/>
        <v>0</v>
      </c>
      <c r="GK12" s="193">
        <f t="shared" ca="1" si="2"/>
        <v>0</v>
      </c>
      <c r="GL12" s="193">
        <f t="shared" ca="1" si="2"/>
        <v>0</v>
      </c>
      <c r="GM12" s="194">
        <f t="shared" ca="1" si="2"/>
        <v>0</v>
      </c>
      <c r="GN12" s="193">
        <f t="shared" ca="1" si="2"/>
        <v>0</v>
      </c>
      <c r="GO12" s="193">
        <f t="shared" ca="1" si="2"/>
        <v>0</v>
      </c>
      <c r="GP12" s="193">
        <f t="shared" ca="1" si="2"/>
        <v>0</v>
      </c>
      <c r="GQ12" s="193">
        <f t="shared" ca="1" si="2"/>
        <v>0</v>
      </c>
      <c r="GR12" s="193">
        <f t="shared" ca="1" si="2"/>
        <v>0</v>
      </c>
      <c r="GS12" s="193">
        <f t="shared" ca="1" si="2"/>
        <v>0</v>
      </c>
      <c r="GT12" s="193">
        <f t="shared" ca="1" si="2"/>
        <v>0</v>
      </c>
      <c r="GU12" s="194">
        <f t="shared" ca="1" si="2"/>
        <v>0</v>
      </c>
      <c r="GV12" s="193">
        <f t="shared" ca="1" si="2"/>
        <v>0</v>
      </c>
      <c r="GW12" s="193">
        <f t="shared" ca="1" si="2"/>
        <v>0</v>
      </c>
      <c r="GX12" s="193">
        <f t="shared" ca="1" si="2"/>
        <v>0</v>
      </c>
      <c r="GY12" s="193">
        <f t="shared" ca="1" si="2"/>
        <v>0</v>
      </c>
      <c r="GZ12" s="193">
        <f t="shared" ca="1" si="2"/>
        <v>0</v>
      </c>
      <c r="HA12" s="193">
        <f t="shared" ca="1" si="2"/>
        <v>0</v>
      </c>
      <c r="HB12" s="193">
        <f t="shared" ca="1" si="2"/>
        <v>0</v>
      </c>
      <c r="HC12" s="194">
        <f t="shared" ca="1" si="2"/>
        <v>0</v>
      </c>
      <c r="HD12" s="193">
        <f t="shared" ca="1" si="2"/>
        <v>0</v>
      </c>
      <c r="HE12" s="193">
        <f t="shared" ca="1" si="2"/>
        <v>0</v>
      </c>
      <c r="HF12" s="193">
        <f t="shared" ca="1" si="2"/>
        <v>0</v>
      </c>
      <c r="HG12" s="193">
        <f t="shared" ca="1" si="2"/>
        <v>0</v>
      </c>
      <c r="HH12" s="193">
        <f t="shared" ca="1" si="2"/>
        <v>0</v>
      </c>
      <c r="HI12" s="193">
        <f t="shared" ca="1" si="2"/>
        <v>0</v>
      </c>
      <c r="HJ12" s="193">
        <f t="shared" ca="1" si="2"/>
        <v>0</v>
      </c>
      <c r="HK12" s="194">
        <f t="shared" ca="1" si="2"/>
        <v>0</v>
      </c>
    </row>
    <row r="13" spans="1:219" ht="12.75" customHeight="1" x14ac:dyDescent="0.2">
      <c r="A13" s="195" t="s">
        <v>260</v>
      </c>
      <c r="B13" s="9" t="s">
        <v>256</v>
      </c>
      <c r="D13" s="132" t="s">
        <v>231</v>
      </c>
      <c r="E13" s="132" t="s">
        <v>233</v>
      </c>
      <c r="F13" s="132" t="s">
        <v>236</v>
      </c>
      <c r="G13" s="134" t="s">
        <v>237</v>
      </c>
      <c r="H13" s="132" t="s">
        <v>205</v>
      </c>
      <c r="I13" s="132" t="s">
        <v>261</v>
      </c>
      <c r="K13" s="132" t="s">
        <v>262</v>
      </c>
      <c r="L13" s="187"/>
      <c r="M13" s="132" t="s">
        <v>263</v>
      </c>
      <c r="N13" s="132" t="s">
        <v>264</v>
      </c>
      <c r="O13" s="196" t="e">
        <f ca="1">OFFSET(O13,0,-1)+1</f>
        <v>#VALUE!</v>
      </c>
      <c r="Q13" s="197">
        <f t="shared" ref="Q13:BN13" ca="1" si="3">OFFSET(Q13,0,-1)+1</f>
        <v>1</v>
      </c>
      <c r="R13" s="196">
        <f t="shared" ca="1" si="3"/>
        <v>2</v>
      </c>
      <c r="S13" s="196">
        <f t="shared" ca="1" si="3"/>
        <v>3</v>
      </c>
      <c r="T13" s="196">
        <f t="shared" ca="1" si="3"/>
        <v>4</v>
      </c>
      <c r="U13" s="196">
        <f t="shared" ca="1" si="3"/>
        <v>5</v>
      </c>
      <c r="V13" s="196">
        <f t="shared" ca="1" si="3"/>
        <v>6</v>
      </c>
      <c r="W13" s="196">
        <f t="shared" ca="1" si="3"/>
        <v>7</v>
      </c>
      <c r="X13" s="196">
        <f t="shared" ca="1" si="3"/>
        <v>8</v>
      </c>
      <c r="Y13" s="196">
        <f t="shared" ca="1" si="3"/>
        <v>9</v>
      </c>
      <c r="Z13" s="198">
        <f t="shared" ca="1" si="3"/>
        <v>10</v>
      </c>
      <c r="AA13" s="196">
        <f t="shared" ca="1" si="3"/>
        <v>11</v>
      </c>
      <c r="AB13" s="196">
        <f t="shared" ca="1" si="3"/>
        <v>12</v>
      </c>
      <c r="AC13" s="196">
        <f t="shared" ca="1" si="3"/>
        <v>13</v>
      </c>
      <c r="AD13" s="196">
        <f t="shared" ca="1" si="3"/>
        <v>14</v>
      </c>
      <c r="AE13" s="196">
        <f t="shared" ca="1" si="3"/>
        <v>15</v>
      </c>
      <c r="AF13" s="196">
        <f t="shared" ca="1" si="3"/>
        <v>16</v>
      </c>
      <c r="AG13" s="196">
        <f t="shared" ca="1" si="3"/>
        <v>17</v>
      </c>
      <c r="AH13" s="198">
        <f t="shared" ca="1" si="3"/>
        <v>18</v>
      </c>
      <c r="AI13" s="196">
        <f t="shared" ca="1" si="3"/>
        <v>19</v>
      </c>
      <c r="AJ13" s="196">
        <f t="shared" ca="1" si="3"/>
        <v>20</v>
      </c>
      <c r="AK13" s="196">
        <f t="shared" ca="1" si="3"/>
        <v>21</v>
      </c>
      <c r="AL13" s="196">
        <f t="shared" ca="1" si="3"/>
        <v>22</v>
      </c>
      <c r="AM13" s="196">
        <f t="shared" ca="1" si="3"/>
        <v>23</v>
      </c>
      <c r="AN13" s="196">
        <f t="shared" ca="1" si="3"/>
        <v>24</v>
      </c>
      <c r="AO13" s="196">
        <f t="shared" ca="1" si="3"/>
        <v>25</v>
      </c>
      <c r="AP13" s="198">
        <f t="shared" ca="1" si="3"/>
        <v>26</v>
      </c>
      <c r="AQ13" s="196">
        <f t="shared" ca="1" si="3"/>
        <v>27</v>
      </c>
      <c r="AR13" s="196">
        <f t="shared" ca="1" si="3"/>
        <v>28</v>
      </c>
      <c r="AS13" s="196">
        <f t="shared" ca="1" si="3"/>
        <v>29</v>
      </c>
      <c r="AT13" s="196">
        <f t="shared" ca="1" si="3"/>
        <v>30</v>
      </c>
      <c r="AU13" s="196">
        <f t="shared" ca="1" si="3"/>
        <v>31</v>
      </c>
      <c r="AV13" s="196">
        <f t="shared" ca="1" si="3"/>
        <v>32</v>
      </c>
      <c r="AW13" s="196">
        <f t="shared" ca="1" si="3"/>
        <v>33</v>
      </c>
      <c r="AX13" s="198">
        <f t="shared" ca="1" si="3"/>
        <v>34</v>
      </c>
      <c r="AY13" s="196">
        <f t="shared" ca="1" si="3"/>
        <v>35</v>
      </c>
      <c r="AZ13" s="196">
        <f t="shared" ca="1" si="3"/>
        <v>36</v>
      </c>
      <c r="BA13" s="196">
        <f t="shared" ca="1" si="3"/>
        <v>37</v>
      </c>
      <c r="BB13" s="196">
        <f t="shared" ca="1" si="3"/>
        <v>38</v>
      </c>
      <c r="BC13" s="196">
        <f t="shared" ca="1" si="3"/>
        <v>39</v>
      </c>
      <c r="BD13" s="196">
        <f t="shared" ca="1" si="3"/>
        <v>40</v>
      </c>
      <c r="BE13" s="196">
        <f t="shared" ca="1" si="3"/>
        <v>41</v>
      </c>
      <c r="BF13" s="198">
        <f t="shared" ca="1" si="3"/>
        <v>42</v>
      </c>
      <c r="BG13" s="196">
        <f t="shared" ca="1" si="3"/>
        <v>43</v>
      </c>
      <c r="BH13" s="196">
        <f t="shared" ca="1" si="3"/>
        <v>44</v>
      </c>
      <c r="BI13" s="196">
        <f t="shared" ca="1" si="3"/>
        <v>45</v>
      </c>
      <c r="BJ13" s="196">
        <f t="shared" ca="1" si="3"/>
        <v>46</v>
      </c>
      <c r="BK13" s="196">
        <f t="shared" ca="1" si="3"/>
        <v>47</v>
      </c>
      <c r="BL13" s="196">
        <f t="shared" ca="1" si="3"/>
        <v>48</v>
      </c>
      <c r="BM13" s="196">
        <f t="shared" ca="1" si="3"/>
        <v>49</v>
      </c>
      <c r="BN13" s="198">
        <f t="shared" ca="1" si="3"/>
        <v>50</v>
      </c>
      <c r="BP13" s="138">
        <f t="shared" ref="BP13:GF13" ca="1" si="4">OFFSET(BP13,0,-1)+1</f>
        <v>1</v>
      </c>
      <c r="BQ13" s="199">
        <f t="shared" ca="1" si="4"/>
        <v>2</v>
      </c>
      <c r="BR13" s="199">
        <f t="shared" ca="1" si="4"/>
        <v>3</v>
      </c>
      <c r="BS13" s="199">
        <f t="shared" ca="1" si="4"/>
        <v>4</v>
      </c>
      <c r="BT13" s="199">
        <f t="shared" ca="1" si="4"/>
        <v>5</v>
      </c>
      <c r="BU13" s="199">
        <f t="shared" ca="1" si="4"/>
        <v>6</v>
      </c>
      <c r="BV13" s="199">
        <f t="shared" ca="1" si="4"/>
        <v>7</v>
      </c>
      <c r="BW13" s="199">
        <f t="shared" ca="1" si="4"/>
        <v>8</v>
      </c>
      <c r="BX13" s="199">
        <f t="shared" ca="1" si="4"/>
        <v>9</v>
      </c>
      <c r="BY13" s="200">
        <f t="shared" ca="1" si="4"/>
        <v>10</v>
      </c>
      <c r="BZ13" s="199">
        <f t="shared" ca="1" si="4"/>
        <v>11</v>
      </c>
      <c r="CA13" s="199">
        <f t="shared" ca="1" si="4"/>
        <v>12</v>
      </c>
      <c r="CB13" s="199">
        <f t="shared" ca="1" si="4"/>
        <v>13</v>
      </c>
      <c r="CC13" s="199">
        <f t="shared" ca="1" si="4"/>
        <v>14</v>
      </c>
      <c r="CD13" s="199">
        <f t="shared" ca="1" si="4"/>
        <v>15</v>
      </c>
      <c r="CE13" s="199">
        <f t="shared" ca="1" si="4"/>
        <v>16</v>
      </c>
      <c r="CF13" s="199">
        <f t="shared" ca="1" si="4"/>
        <v>17</v>
      </c>
      <c r="CG13" s="200">
        <f t="shared" ca="1" si="4"/>
        <v>18</v>
      </c>
      <c r="CH13" s="199">
        <f t="shared" ca="1" si="4"/>
        <v>19</v>
      </c>
      <c r="CI13" s="199">
        <f t="shared" ca="1" si="4"/>
        <v>20</v>
      </c>
      <c r="CJ13" s="199">
        <f t="shared" ca="1" si="4"/>
        <v>21</v>
      </c>
      <c r="CK13" s="199">
        <f t="shared" ca="1" si="4"/>
        <v>22</v>
      </c>
      <c r="CL13" s="199">
        <f t="shared" ca="1" si="4"/>
        <v>23</v>
      </c>
      <c r="CM13" s="199">
        <f t="shared" ca="1" si="4"/>
        <v>24</v>
      </c>
      <c r="CN13" s="199">
        <f t="shared" ca="1" si="4"/>
        <v>25</v>
      </c>
      <c r="CO13" s="200">
        <f t="shared" ca="1" si="4"/>
        <v>26</v>
      </c>
      <c r="CP13" s="199">
        <f t="shared" ca="1" si="4"/>
        <v>27</v>
      </c>
      <c r="CQ13" s="199">
        <f t="shared" ca="1" si="4"/>
        <v>28</v>
      </c>
      <c r="CR13" s="199">
        <f t="shared" ca="1" si="4"/>
        <v>29</v>
      </c>
      <c r="CS13" s="199">
        <f t="shared" ca="1" si="4"/>
        <v>30</v>
      </c>
      <c r="CT13" s="199">
        <f t="shared" ca="1" si="4"/>
        <v>31</v>
      </c>
      <c r="CU13" s="199">
        <f t="shared" ca="1" si="4"/>
        <v>32</v>
      </c>
      <c r="CV13" s="199">
        <f t="shared" ca="1" si="4"/>
        <v>33</v>
      </c>
      <c r="CW13" s="200">
        <f t="shared" ca="1" si="4"/>
        <v>34</v>
      </c>
      <c r="CX13" s="199">
        <f t="shared" ca="1" si="4"/>
        <v>35</v>
      </c>
      <c r="CY13" s="199">
        <f t="shared" ca="1" si="4"/>
        <v>36</v>
      </c>
      <c r="CZ13" s="199">
        <f t="shared" ca="1" si="4"/>
        <v>37</v>
      </c>
      <c r="DA13" s="199">
        <f t="shared" ca="1" si="4"/>
        <v>38</v>
      </c>
      <c r="DB13" s="199">
        <f t="shared" ca="1" si="4"/>
        <v>39</v>
      </c>
      <c r="DC13" s="199">
        <f t="shared" ca="1" si="4"/>
        <v>40</v>
      </c>
      <c r="DD13" s="199">
        <f t="shared" ca="1" si="4"/>
        <v>41</v>
      </c>
      <c r="DE13" s="200">
        <f t="shared" ca="1" si="4"/>
        <v>42</v>
      </c>
      <c r="DF13" s="199">
        <f t="shared" ca="1" si="4"/>
        <v>43</v>
      </c>
      <c r="DG13" s="199">
        <f t="shared" ca="1" si="4"/>
        <v>44</v>
      </c>
      <c r="DH13" s="199">
        <f t="shared" ca="1" si="4"/>
        <v>45</v>
      </c>
      <c r="DI13" s="199">
        <f t="shared" ca="1" si="4"/>
        <v>46</v>
      </c>
      <c r="DJ13" s="199">
        <f t="shared" ca="1" si="4"/>
        <v>47</v>
      </c>
      <c r="DK13" s="199">
        <f t="shared" ca="1" si="4"/>
        <v>48</v>
      </c>
      <c r="DL13" s="199">
        <f t="shared" ca="1" si="4"/>
        <v>49</v>
      </c>
      <c r="DM13" s="200">
        <f t="shared" ca="1" si="4"/>
        <v>50</v>
      </c>
      <c r="DO13" s="138">
        <f t="shared" ca="1" si="4"/>
        <v>1</v>
      </c>
      <c r="DP13" s="199">
        <f t="shared" ca="1" si="4"/>
        <v>2</v>
      </c>
      <c r="DQ13" s="199">
        <f t="shared" ca="1" si="4"/>
        <v>3</v>
      </c>
      <c r="DR13" s="199">
        <f t="shared" ca="1" si="4"/>
        <v>4</v>
      </c>
      <c r="DS13" s="199">
        <f t="shared" ca="1" si="4"/>
        <v>5</v>
      </c>
      <c r="DT13" s="199">
        <f t="shared" ca="1" si="4"/>
        <v>6</v>
      </c>
      <c r="DU13" s="199">
        <f t="shared" ca="1" si="4"/>
        <v>7</v>
      </c>
      <c r="DV13" s="199">
        <f t="shared" ca="1" si="4"/>
        <v>8</v>
      </c>
      <c r="DW13" s="199">
        <f t="shared" ca="1" si="4"/>
        <v>9</v>
      </c>
      <c r="DX13" s="200">
        <f t="shared" ca="1" si="4"/>
        <v>10</v>
      </c>
      <c r="DY13" s="199">
        <f t="shared" ca="1" si="4"/>
        <v>11</v>
      </c>
      <c r="DZ13" s="199">
        <f t="shared" ca="1" si="4"/>
        <v>12</v>
      </c>
      <c r="EA13" s="199">
        <f t="shared" ca="1" si="4"/>
        <v>13</v>
      </c>
      <c r="EB13" s="199">
        <f t="shared" ca="1" si="4"/>
        <v>14</v>
      </c>
      <c r="EC13" s="199">
        <f t="shared" ca="1" si="4"/>
        <v>15</v>
      </c>
      <c r="ED13" s="199">
        <f t="shared" ca="1" si="4"/>
        <v>16</v>
      </c>
      <c r="EE13" s="199">
        <f t="shared" ca="1" si="4"/>
        <v>17</v>
      </c>
      <c r="EF13" s="200">
        <f t="shared" ca="1" si="4"/>
        <v>18</v>
      </c>
      <c r="EG13" s="199">
        <f t="shared" ca="1" si="4"/>
        <v>19</v>
      </c>
      <c r="EH13" s="199">
        <f t="shared" ca="1" si="4"/>
        <v>20</v>
      </c>
      <c r="EI13" s="199">
        <f t="shared" ca="1" si="4"/>
        <v>21</v>
      </c>
      <c r="EJ13" s="199">
        <f t="shared" ca="1" si="4"/>
        <v>22</v>
      </c>
      <c r="EK13" s="199">
        <f t="shared" ca="1" si="4"/>
        <v>23</v>
      </c>
      <c r="EL13" s="199">
        <f t="shared" ca="1" si="4"/>
        <v>24</v>
      </c>
      <c r="EM13" s="199">
        <f t="shared" ca="1" si="4"/>
        <v>25</v>
      </c>
      <c r="EN13" s="200">
        <f t="shared" ca="1" si="4"/>
        <v>26</v>
      </c>
      <c r="EO13" s="199">
        <f t="shared" ca="1" si="4"/>
        <v>27</v>
      </c>
      <c r="EP13" s="199">
        <f t="shared" ca="1" si="4"/>
        <v>28</v>
      </c>
      <c r="EQ13" s="199">
        <f t="shared" ca="1" si="4"/>
        <v>29</v>
      </c>
      <c r="ER13" s="199">
        <f t="shared" ca="1" si="4"/>
        <v>30</v>
      </c>
      <c r="ES13" s="199">
        <f t="shared" ca="1" si="4"/>
        <v>31</v>
      </c>
      <c r="ET13" s="199">
        <f t="shared" ca="1" si="4"/>
        <v>32</v>
      </c>
      <c r="EU13" s="199">
        <f t="shared" ca="1" si="4"/>
        <v>33</v>
      </c>
      <c r="EV13" s="200">
        <f t="shared" ca="1" si="4"/>
        <v>34</v>
      </c>
      <c r="EW13" s="199">
        <f t="shared" ca="1" si="4"/>
        <v>35</v>
      </c>
      <c r="EX13" s="199">
        <f t="shared" ca="1" si="4"/>
        <v>36</v>
      </c>
      <c r="EY13" s="199">
        <f t="shared" ca="1" si="4"/>
        <v>37</v>
      </c>
      <c r="EZ13" s="199">
        <f t="shared" ca="1" si="4"/>
        <v>38</v>
      </c>
      <c r="FA13" s="199">
        <f t="shared" ca="1" si="4"/>
        <v>39</v>
      </c>
      <c r="FB13" s="199">
        <f t="shared" ca="1" si="4"/>
        <v>40</v>
      </c>
      <c r="FC13" s="199">
        <f t="shared" ca="1" si="4"/>
        <v>41</v>
      </c>
      <c r="FD13" s="200">
        <f t="shared" ca="1" si="4"/>
        <v>42</v>
      </c>
      <c r="FE13" s="199">
        <f t="shared" ca="1" si="4"/>
        <v>43</v>
      </c>
      <c r="FF13" s="199">
        <f t="shared" ca="1" si="4"/>
        <v>44</v>
      </c>
      <c r="FG13" s="199">
        <f t="shared" ca="1" si="4"/>
        <v>45</v>
      </c>
      <c r="FH13" s="199">
        <f t="shared" ca="1" si="4"/>
        <v>46</v>
      </c>
      <c r="FI13" s="199">
        <f t="shared" ca="1" si="4"/>
        <v>47</v>
      </c>
      <c r="FJ13" s="199">
        <f t="shared" ca="1" si="4"/>
        <v>48</v>
      </c>
      <c r="FK13" s="199">
        <f t="shared" ca="1" si="4"/>
        <v>49</v>
      </c>
      <c r="FL13" s="200">
        <f t="shared" ca="1" si="4"/>
        <v>50</v>
      </c>
      <c r="FN13" s="138">
        <f t="shared" ca="1" si="4"/>
        <v>1</v>
      </c>
      <c r="FO13" s="199">
        <f t="shared" ca="1" si="4"/>
        <v>2</v>
      </c>
      <c r="FP13" s="199">
        <f t="shared" ca="1" si="4"/>
        <v>3</v>
      </c>
      <c r="FQ13" s="199">
        <f t="shared" ca="1" si="4"/>
        <v>4</v>
      </c>
      <c r="FR13" s="199">
        <f t="shared" ca="1" si="4"/>
        <v>5</v>
      </c>
      <c r="FS13" s="199">
        <f t="shared" ca="1" si="4"/>
        <v>6</v>
      </c>
      <c r="FT13" s="199">
        <f t="shared" ca="1" si="4"/>
        <v>7</v>
      </c>
      <c r="FU13" s="199">
        <f t="shared" ca="1" si="4"/>
        <v>8</v>
      </c>
      <c r="FV13" s="199">
        <f t="shared" ca="1" si="4"/>
        <v>9</v>
      </c>
      <c r="FW13" s="200">
        <f t="shared" ca="1" si="4"/>
        <v>10</v>
      </c>
      <c r="FX13" s="199">
        <f t="shared" ca="1" si="4"/>
        <v>11</v>
      </c>
      <c r="FY13" s="199">
        <f t="shared" ca="1" si="4"/>
        <v>12</v>
      </c>
      <c r="FZ13" s="199">
        <f t="shared" ca="1" si="4"/>
        <v>13</v>
      </c>
      <c r="GA13" s="199">
        <f t="shared" ca="1" si="4"/>
        <v>14</v>
      </c>
      <c r="GB13" s="199">
        <f t="shared" ca="1" si="4"/>
        <v>15</v>
      </c>
      <c r="GC13" s="199">
        <f t="shared" ca="1" si="4"/>
        <v>16</v>
      </c>
      <c r="GD13" s="199">
        <f t="shared" ca="1" si="4"/>
        <v>17</v>
      </c>
      <c r="GE13" s="200">
        <f t="shared" ca="1" si="4"/>
        <v>18</v>
      </c>
      <c r="GF13" s="199">
        <f t="shared" ca="1" si="4"/>
        <v>19</v>
      </c>
      <c r="GG13" s="199">
        <f t="shared" ref="GG13:HK13" ca="1" si="5">OFFSET(GG13,0,-1)+1</f>
        <v>20</v>
      </c>
      <c r="GH13" s="199">
        <f t="shared" ca="1" si="5"/>
        <v>21</v>
      </c>
      <c r="GI13" s="199">
        <f t="shared" ca="1" si="5"/>
        <v>22</v>
      </c>
      <c r="GJ13" s="199">
        <f t="shared" ca="1" si="5"/>
        <v>23</v>
      </c>
      <c r="GK13" s="199">
        <f t="shared" ca="1" si="5"/>
        <v>24</v>
      </c>
      <c r="GL13" s="199">
        <f t="shared" ca="1" si="5"/>
        <v>25</v>
      </c>
      <c r="GM13" s="200">
        <f t="shared" ca="1" si="5"/>
        <v>26</v>
      </c>
      <c r="GN13" s="199">
        <f t="shared" ca="1" si="5"/>
        <v>27</v>
      </c>
      <c r="GO13" s="199">
        <f t="shared" ca="1" si="5"/>
        <v>28</v>
      </c>
      <c r="GP13" s="199">
        <f t="shared" ca="1" si="5"/>
        <v>29</v>
      </c>
      <c r="GQ13" s="199">
        <f t="shared" ca="1" si="5"/>
        <v>30</v>
      </c>
      <c r="GR13" s="199">
        <f t="shared" ca="1" si="5"/>
        <v>31</v>
      </c>
      <c r="GS13" s="199">
        <f t="shared" ca="1" si="5"/>
        <v>32</v>
      </c>
      <c r="GT13" s="199">
        <f t="shared" ca="1" si="5"/>
        <v>33</v>
      </c>
      <c r="GU13" s="200">
        <f t="shared" ca="1" si="5"/>
        <v>34</v>
      </c>
      <c r="GV13" s="199">
        <f t="shared" ca="1" si="5"/>
        <v>35</v>
      </c>
      <c r="GW13" s="199">
        <f t="shared" ca="1" si="5"/>
        <v>36</v>
      </c>
      <c r="GX13" s="199">
        <f t="shared" ca="1" si="5"/>
        <v>37</v>
      </c>
      <c r="GY13" s="199">
        <f t="shared" ca="1" si="5"/>
        <v>38</v>
      </c>
      <c r="GZ13" s="199">
        <f t="shared" ca="1" si="5"/>
        <v>39</v>
      </c>
      <c r="HA13" s="199">
        <f t="shared" ca="1" si="5"/>
        <v>40</v>
      </c>
      <c r="HB13" s="199">
        <f t="shared" ca="1" si="5"/>
        <v>41</v>
      </c>
      <c r="HC13" s="200">
        <f t="shared" ca="1" si="5"/>
        <v>42</v>
      </c>
      <c r="HD13" s="199">
        <f t="shared" ca="1" si="5"/>
        <v>43</v>
      </c>
      <c r="HE13" s="199">
        <f t="shared" ca="1" si="5"/>
        <v>44</v>
      </c>
      <c r="HF13" s="199">
        <f t="shared" ca="1" si="5"/>
        <v>45</v>
      </c>
      <c r="HG13" s="199">
        <f t="shared" ca="1" si="5"/>
        <v>46</v>
      </c>
      <c r="HH13" s="199">
        <f t="shared" ca="1" si="5"/>
        <v>47</v>
      </c>
      <c r="HI13" s="199">
        <f t="shared" ca="1" si="5"/>
        <v>48</v>
      </c>
      <c r="HJ13" s="199">
        <f t="shared" ca="1" si="5"/>
        <v>49</v>
      </c>
      <c r="HK13" s="200">
        <f t="shared" ca="1" si="5"/>
        <v>50</v>
      </c>
    </row>
    <row r="14" spans="1:219" ht="12.75" hidden="1" x14ac:dyDescent="0.2">
      <c r="A14" s="9" t="str">
        <f ca="1">IF(AUTOEVENTO="Manual",IF(K14&lt;&gt;"",MIN(VALUE(LEFT(K14,FIND(".",K14)-1)),COUNTA(EVENTOS.Lista)),0),IF(OR($B14&gt;AUTOEVENTO,$B14="S",$B14=0),SUBSTITUTE(OFFSET($A14,-1,0),IF($D14="Serviço",".",""),""),ROW(A14)-ROW($A$15)&amp;"."))</f>
        <v>AUTOEVENTO</v>
      </c>
      <c r="B14" s="9" t="str">
        <f ca="1">OFFSET(ORÇAMENTO!C$15,ROW(B14)-ROW(B$15),0)</f>
        <v>S</v>
      </c>
      <c r="C14" s="9" t="str">
        <f ca="1">OFFSET(ORÇAMENTO!L$15,ROW(C14)-ROW(C$15),0)</f>
        <v/>
      </c>
      <c r="D14" s="141" t="str">
        <f ca="1">OFFSET(ORÇAMENTO!N$15,ROW(D14)-ROW(D$15),0)</f>
        <v>Serviço</v>
      </c>
      <c r="E14" s="201" t="str">
        <f ca="1">OFFSET(ORÇAMENTO!O$15,ROW(E14)-ROW(E$15),0)</f>
        <v>-</v>
      </c>
      <c r="F14" s="202" t="str">
        <f ca="1">OFFSET(ORÇAMENTO!R$15,ROW(F14)-ROW(F$15),0)</f>
        <v>(abra o arquivo 'Referência 11-2023.xls)</v>
      </c>
      <c r="G14" s="203" t="str">
        <f ca="1">IF($D14&lt;&gt;"Serviço","",OFFSET(ORÇAMENTO!S$15,ROW(G14)-ROW(G$15),0))</f>
        <v>-</v>
      </c>
      <c r="H14" s="147">
        <f ca="1">IF($D14&lt;&gt;"Serviço",0,IF(ACOMPANHAMENTO="BM",ROUND(OFFSET(ORÇAMENTO!AJ$15,ROW(H14)-ROW(H$15),0),15-13*ORÇAMENTO!$AF$7),SUMPRODUCT(($Q$12:$BO$12&lt;&gt;"")*ROUND($Q14:$BO14,15-13*ORÇAMENTO!$AF$7))))</f>
        <v>0</v>
      </c>
      <c r="I14" s="646"/>
      <c r="K14" s="204"/>
      <c r="L14" s="205" t="s">
        <v>257</v>
      </c>
      <c r="M14" s="206" t="str">
        <f ca="1">IF($D14&lt;&gt;"Serviço","",IF(AUTOEVENTO="manual",$A14,IF(ISERROR(MATCH($A14,$A$15:OFFSET($A14,-1,0),0)),MAX($M$15:OFFSET(M14,-1,0))+1,INDEX($M$15:OFFSET(M14,-1,0),MATCH($A14,$A$15:OFFSET($A14,-1,0),0)))))</f>
        <v># Evento</v>
      </c>
      <c r="N14" s="207" t="e">
        <f ca="1">IF($D14&lt;&gt;"Serviço","",IF(AUTOEVENTO="Manual",IF($A14=0,"&lt;-- defina o número do agrupador",OFFSET(EVENTOS!$D$14,$A14,0)),OFFSET($F$15,$A14,0)))</f>
        <v>#VALUE!</v>
      </c>
      <c r="O14" s="208"/>
      <c r="Q14" s="208"/>
      <c r="R14" s="209"/>
      <c r="S14" s="209"/>
      <c r="T14" s="209"/>
      <c r="U14" s="209"/>
      <c r="V14" s="209"/>
      <c r="W14" s="209"/>
      <c r="X14" s="209"/>
      <c r="Y14" s="209"/>
      <c r="Z14" s="210"/>
      <c r="AA14" s="209"/>
      <c r="AB14" s="209"/>
      <c r="AC14" s="209"/>
      <c r="AD14" s="209"/>
      <c r="AE14" s="209"/>
      <c r="AF14" s="209"/>
      <c r="AG14" s="209"/>
      <c r="AH14" s="210"/>
      <c r="AI14" s="209"/>
      <c r="AJ14" s="209"/>
      <c r="AK14" s="209"/>
      <c r="AL14" s="209"/>
      <c r="AM14" s="209"/>
      <c r="AN14" s="209"/>
      <c r="AO14" s="209"/>
      <c r="AP14" s="210"/>
      <c r="AQ14" s="209"/>
      <c r="AR14" s="209"/>
      <c r="AS14" s="209"/>
      <c r="AT14" s="209"/>
      <c r="AU14" s="209"/>
      <c r="AV14" s="209"/>
      <c r="AW14" s="209"/>
      <c r="AX14" s="210"/>
      <c r="AY14" s="209"/>
      <c r="AZ14" s="209"/>
      <c r="BA14" s="209"/>
      <c r="BB14" s="209"/>
      <c r="BC14" s="209"/>
      <c r="BD14" s="209"/>
      <c r="BE14" s="209"/>
      <c r="BF14" s="210"/>
      <c r="BG14" s="209"/>
      <c r="BH14" s="209"/>
      <c r="BI14" s="209"/>
      <c r="BJ14" s="209"/>
      <c r="BK14" s="209"/>
      <c r="BL14" s="209"/>
      <c r="BM14" s="209"/>
      <c r="BN14" s="210"/>
      <c r="BP14" s="627">
        <f ca="1">IF(AND($D14="Serviço",BP$12&lt;&gt;0,$H14&gt;0,OR(AUTOEVENTO&lt;&gt;"manual",$M14&lt;&gt;1)),ROUND(OFFSET($P14,0,BP$13),15-13*ORÇAMENTO!$AF$7)/$H14*OFFSET(ORÇAMENTO!$X$15,ROW(BP14)-ROW(BP$15),0),0)</f>
        <v>0</v>
      </c>
      <c r="BQ14" s="628">
        <f ca="1">IF(AND($D14="Serviço",BQ$12&lt;&gt;0,$H14&gt;0,OR(AUTOEVENTO&lt;&gt;"manual",$M14&lt;&gt;1)),ROUND(OFFSET($P14,0,BQ$13),15-13*ORÇAMENTO!$AF$7)/$H14*OFFSET(ORÇAMENTO!$X$15,ROW(BQ14)-ROW(BQ$15),0),0)</f>
        <v>0</v>
      </c>
      <c r="BR14" s="628">
        <f ca="1">IF(AND($D14="Serviço",BR$12&lt;&gt;0,$H14&gt;0,OR(AUTOEVENTO&lt;&gt;"manual",$M14&lt;&gt;1)),ROUND(OFFSET($P14,0,BR$13),15-13*ORÇAMENTO!$AF$7)/$H14*OFFSET(ORÇAMENTO!$X$15,ROW(BR14)-ROW(BR$15),0),0)</f>
        <v>0</v>
      </c>
      <c r="BS14" s="628">
        <f ca="1">IF(AND($D14="Serviço",BS$12&lt;&gt;0,$H14&gt;0,OR(AUTOEVENTO&lt;&gt;"manual",$M14&lt;&gt;1)),ROUND(OFFSET($P14,0,BS$13),15-13*ORÇAMENTO!$AF$7)/$H14*OFFSET(ORÇAMENTO!$X$15,ROW(BS14)-ROW(BS$15),0),0)</f>
        <v>0</v>
      </c>
      <c r="BT14" s="628">
        <f ca="1">IF(AND($D14="Serviço",BT$12&lt;&gt;0,$H14&gt;0,OR(AUTOEVENTO&lt;&gt;"manual",$M14&lt;&gt;1)),ROUND(OFFSET($P14,0,BT$13),15-13*ORÇAMENTO!$AF$7)/$H14*OFFSET(ORÇAMENTO!$X$15,ROW(BT14)-ROW(BT$15),0),0)</f>
        <v>0</v>
      </c>
      <c r="BU14" s="628">
        <f ca="1">IF(AND($D14="Serviço",BU$12&lt;&gt;0,$H14&gt;0,OR(AUTOEVENTO&lt;&gt;"manual",$M14&lt;&gt;1)),ROUND(OFFSET($P14,0,BU$13),15-13*ORÇAMENTO!$AF$7)/$H14*OFFSET(ORÇAMENTO!$X$15,ROW(BU14)-ROW(BU$15),0),0)</f>
        <v>0</v>
      </c>
      <c r="BV14" s="628">
        <f ca="1">IF(AND($D14="Serviço",BV$12&lt;&gt;0,$H14&gt;0,OR(AUTOEVENTO&lt;&gt;"manual",$M14&lt;&gt;1)),ROUND(OFFSET($P14,0,BV$13),15-13*ORÇAMENTO!$AF$7)/$H14*OFFSET(ORÇAMENTO!$X$15,ROW(BV14)-ROW(BV$15),0),0)</f>
        <v>0</v>
      </c>
      <c r="BW14" s="628">
        <f ca="1">IF(AND($D14="Serviço",BW$12&lt;&gt;0,$H14&gt;0,OR(AUTOEVENTO&lt;&gt;"manual",$M14&lt;&gt;1)),ROUND(OFFSET($P14,0,BW$13),15-13*ORÇAMENTO!$AF$7)/$H14*OFFSET(ORÇAMENTO!$X$15,ROW(BW14)-ROW(BW$15),0),0)</f>
        <v>0</v>
      </c>
      <c r="BX14" s="628">
        <f ca="1">IF(AND($D14="Serviço",BX$12&lt;&gt;0,$H14&gt;0,OR(AUTOEVENTO&lt;&gt;"manual",$M14&lt;&gt;1)),ROUND(OFFSET($P14,0,BX$13),15-13*ORÇAMENTO!$AF$7)/$H14*OFFSET(ORÇAMENTO!$X$15,ROW(BX14)-ROW(BX$15),0),0)</f>
        <v>0</v>
      </c>
      <c r="BY14" s="629">
        <f ca="1">IF(AND($D14="Serviço",BY$12&lt;&gt;0,$H14&gt;0,OR(AUTOEVENTO&lt;&gt;"manual",$M14&lt;&gt;1)),ROUND(OFFSET($P14,0,BY$13),15-13*ORÇAMENTO!$AF$7)/$H14*OFFSET(ORÇAMENTO!$X$15,ROW(BY14)-ROW(BY$15),0),0)</f>
        <v>0</v>
      </c>
      <c r="BZ14" s="628">
        <f ca="1">IF(AND($D14="Serviço",BZ$12&lt;&gt;0,$H14&gt;0,OR(AUTOEVENTO&lt;&gt;"manual",$M14&lt;&gt;1)),ROUND(OFFSET($P14,0,BZ$13),15-13*ORÇAMENTO!$AF$7)/$H14*OFFSET(ORÇAMENTO!$X$15,ROW(BZ14)-ROW(BZ$15),0),0)</f>
        <v>0</v>
      </c>
      <c r="CA14" s="628">
        <f ca="1">IF(AND($D14="Serviço",CA$12&lt;&gt;0,$H14&gt;0,OR(AUTOEVENTO&lt;&gt;"manual",$M14&lt;&gt;1)),ROUND(OFFSET($P14,0,CA$13),15-13*ORÇAMENTO!$AF$7)/$H14*OFFSET(ORÇAMENTO!$X$15,ROW(CA14)-ROW(CA$15),0),0)</f>
        <v>0</v>
      </c>
      <c r="CB14" s="628">
        <f ca="1">IF(AND($D14="Serviço",CB$12&lt;&gt;0,$H14&gt;0,OR(AUTOEVENTO&lt;&gt;"manual",$M14&lt;&gt;1)),ROUND(OFFSET($P14,0,CB$13),15-13*ORÇAMENTO!$AF$7)/$H14*OFFSET(ORÇAMENTO!$X$15,ROW(CB14)-ROW(CB$15),0),0)</f>
        <v>0</v>
      </c>
      <c r="CC14" s="628">
        <f ca="1">IF(AND($D14="Serviço",CC$12&lt;&gt;0,$H14&gt;0,OR(AUTOEVENTO&lt;&gt;"manual",$M14&lt;&gt;1)),ROUND(OFFSET($P14,0,CC$13),15-13*ORÇAMENTO!$AF$7)/$H14*OFFSET(ORÇAMENTO!$X$15,ROW(CC14)-ROW(CC$15),0),0)</f>
        <v>0</v>
      </c>
      <c r="CD14" s="628">
        <f ca="1">IF(AND($D14="Serviço",CD$12&lt;&gt;0,$H14&gt;0,OR(AUTOEVENTO&lt;&gt;"manual",$M14&lt;&gt;1)),ROUND(OFFSET($P14,0,CD$13),15-13*ORÇAMENTO!$AF$7)/$H14*OFFSET(ORÇAMENTO!$X$15,ROW(CD14)-ROW(CD$15),0),0)</f>
        <v>0</v>
      </c>
      <c r="CE14" s="628">
        <f ca="1">IF(AND($D14="Serviço",CE$12&lt;&gt;0,$H14&gt;0,OR(AUTOEVENTO&lt;&gt;"manual",$M14&lt;&gt;1)),ROUND(OFFSET($P14,0,CE$13),15-13*ORÇAMENTO!$AF$7)/$H14*OFFSET(ORÇAMENTO!$X$15,ROW(CE14)-ROW(CE$15),0),0)</f>
        <v>0</v>
      </c>
      <c r="CF14" s="628">
        <f ca="1">IF(AND($D14="Serviço",CF$12&lt;&gt;0,$H14&gt;0,OR(AUTOEVENTO&lt;&gt;"manual",$M14&lt;&gt;1)),ROUND(OFFSET($P14,0,CF$13),15-13*ORÇAMENTO!$AF$7)/$H14*OFFSET(ORÇAMENTO!$X$15,ROW(CF14)-ROW(CF$15),0),0)</f>
        <v>0</v>
      </c>
      <c r="CG14" s="629">
        <f ca="1">IF(AND($D14="Serviço",CG$12&lt;&gt;0,$H14&gt;0,OR(AUTOEVENTO&lt;&gt;"manual",$M14&lt;&gt;1)),ROUND(OFFSET($P14,0,CG$13),15-13*ORÇAMENTO!$AF$7)/$H14*OFFSET(ORÇAMENTO!$X$15,ROW(CG14)-ROW(CG$15),0),0)</f>
        <v>0</v>
      </c>
      <c r="CH14" s="628">
        <f ca="1">IF(AND($D14="Serviço",CH$12&lt;&gt;0,$H14&gt;0,OR(AUTOEVENTO&lt;&gt;"manual",$M14&lt;&gt;1)),ROUND(OFFSET($P14,0,CH$13),15-13*ORÇAMENTO!$AF$7)/$H14*OFFSET(ORÇAMENTO!$X$15,ROW(CH14)-ROW(CH$15),0),0)</f>
        <v>0</v>
      </c>
      <c r="CI14" s="628">
        <f ca="1">IF(AND($D14="Serviço",CI$12&lt;&gt;0,$H14&gt;0,OR(AUTOEVENTO&lt;&gt;"manual",$M14&lt;&gt;1)),ROUND(OFFSET($P14,0,CI$13),15-13*ORÇAMENTO!$AF$7)/$H14*OFFSET(ORÇAMENTO!$X$15,ROW(CI14)-ROW(CI$15),0),0)</f>
        <v>0</v>
      </c>
      <c r="CJ14" s="628">
        <f ca="1">IF(AND($D14="Serviço",CJ$12&lt;&gt;0,$H14&gt;0,OR(AUTOEVENTO&lt;&gt;"manual",$M14&lt;&gt;1)),ROUND(OFFSET($P14,0,CJ$13),15-13*ORÇAMENTO!$AF$7)/$H14*OFFSET(ORÇAMENTO!$X$15,ROW(CJ14)-ROW(CJ$15),0),0)</f>
        <v>0</v>
      </c>
      <c r="CK14" s="628">
        <f ca="1">IF(AND($D14="Serviço",CK$12&lt;&gt;0,$H14&gt;0,OR(AUTOEVENTO&lt;&gt;"manual",$M14&lt;&gt;1)),ROUND(OFFSET($P14,0,CK$13),15-13*ORÇAMENTO!$AF$7)/$H14*OFFSET(ORÇAMENTO!$X$15,ROW(CK14)-ROW(CK$15),0),0)</f>
        <v>0</v>
      </c>
      <c r="CL14" s="628">
        <f ca="1">IF(AND($D14="Serviço",CL$12&lt;&gt;0,$H14&gt;0,OR(AUTOEVENTO&lt;&gt;"manual",$M14&lt;&gt;1)),ROUND(OFFSET($P14,0,CL$13),15-13*ORÇAMENTO!$AF$7)/$H14*OFFSET(ORÇAMENTO!$X$15,ROW(CL14)-ROW(CL$15),0),0)</f>
        <v>0</v>
      </c>
      <c r="CM14" s="628">
        <f ca="1">IF(AND($D14="Serviço",CM$12&lt;&gt;0,$H14&gt;0,OR(AUTOEVENTO&lt;&gt;"manual",$M14&lt;&gt;1)),ROUND(OFFSET($P14,0,CM$13),15-13*ORÇAMENTO!$AF$7)/$H14*OFFSET(ORÇAMENTO!$X$15,ROW(CM14)-ROW(CM$15),0),0)</f>
        <v>0</v>
      </c>
      <c r="CN14" s="628">
        <f ca="1">IF(AND($D14="Serviço",CN$12&lt;&gt;0,$H14&gt;0,OR(AUTOEVENTO&lt;&gt;"manual",$M14&lt;&gt;1)),ROUND(OFFSET($P14,0,CN$13),15-13*ORÇAMENTO!$AF$7)/$H14*OFFSET(ORÇAMENTO!$X$15,ROW(CN14)-ROW(CN$15),0),0)</f>
        <v>0</v>
      </c>
      <c r="CO14" s="629">
        <f ca="1">IF(AND($D14="Serviço",CO$12&lt;&gt;0,$H14&gt;0,OR(AUTOEVENTO&lt;&gt;"manual",$M14&lt;&gt;1)),ROUND(OFFSET($P14,0,CO$13),15-13*ORÇAMENTO!$AF$7)/$H14*OFFSET(ORÇAMENTO!$X$15,ROW(CO14)-ROW(CO$15),0),0)</f>
        <v>0</v>
      </c>
      <c r="CP14" s="628">
        <f ca="1">IF(AND($D14="Serviço",CP$12&lt;&gt;0,$H14&gt;0,OR(AUTOEVENTO&lt;&gt;"manual",$M14&lt;&gt;1)),ROUND(OFFSET($P14,0,CP$13),15-13*ORÇAMENTO!$AF$7)/$H14*OFFSET(ORÇAMENTO!$X$15,ROW(CP14)-ROW(CP$15),0),0)</f>
        <v>0</v>
      </c>
      <c r="CQ14" s="628">
        <f ca="1">IF(AND($D14="Serviço",CQ$12&lt;&gt;0,$H14&gt;0,OR(AUTOEVENTO&lt;&gt;"manual",$M14&lt;&gt;1)),ROUND(OFFSET($P14,0,CQ$13),15-13*ORÇAMENTO!$AF$7)/$H14*OFFSET(ORÇAMENTO!$X$15,ROW(CQ14)-ROW(CQ$15),0),0)</f>
        <v>0</v>
      </c>
      <c r="CR14" s="628">
        <f ca="1">IF(AND($D14="Serviço",CR$12&lt;&gt;0,$H14&gt;0,OR(AUTOEVENTO&lt;&gt;"manual",$M14&lt;&gt;1)),ROUND(OFFSET($P14,0,CR$13),15-13*ORÇAMENTO!$AF$7)/$H14*OFFSET(ORÇAMENTO!$X$15,ROW(CR14)-ROW(CR$15),0),0)</f>
        <v>0</v>
      </c>
      <c r="CS14" s="628">
        <f ca="1">IF(AND($D14="Serviço",CS$12&lt;&gt;0,$H14&gt;0,OR(AUTOEVENTO&lt;&gt;"manual",$M14&lt;&gt;1)),ROUND(OFFSET($P14,0,CS$13),15-13*ORÇAMENTO!$AF$7)/$H14*OFFSET(ORÇAMENTO!$X$15,ROW(CS14)-ROW(CS$15),0),0)</f>
        <v>0</v>
      </c>
      <c r="CT14" s="628">
        <f ca="1">IF(AND($D14="Serviço",CT$12&lt;&gt;0,$H14&gt;0,OR(AUTOEVENTO&lt;&gt;"manual",$M14&lt;&gt;1)),ROUND(OFFSET($P14,0,CT$13),15-13*ORÇAMENTO!$AF$7)/$H14*OFFSET(ORÇAMENTO!$X$15,ROW(CT14)-ROW(CT$15),0),0)</f>
        <v>0</v>
      </c>
      <c r="CU14" s="628">
        <f ca="1">IF(AND($D14="Serviço",CU$12&lt;&gt;0,$H14&gt;0,OR(AUTOEVENTO&lt;&gt;"manual",$M14&lt;&gt;1)),ROUND(OFFSET($P14,0,CU$13),15-13*ORÇAMENTO!$AF$7)/$H14*OFFSET(ORÇAMENTO!$X$15,ROW(CU14)-ROW(CU$15),0),0)</f>
        <v>0</v>
      </c>
      <c r="CV14" s="628">
        <f ca="1">IF(AND($D14="Serviço",CV$12&lt;&gt;0,$H14&gt;0,OR(AUTOEVENTO&lt;&gt;"manual",$M14&lt;&gt;1)),ROUND(OFFSET($P14,0,CV$13),15-13*ORÇAMENTO!$AF$7)/$H14*OFFSET(ORÇAMENTO!$X$15,ROW(CV14)-ROW(CV$15),0),0)</f>
        <v>0</v>
      </c>
      <c r="CW14" s="629">
        <f ca="1">IF(AND($D14="Serviço",CW$12&lt;&gt;0,$H14&gt;0,OR(AUTOEVENTO&lt;&gt;"manual",$M14&lt;&gt;1)),ROUND(OFFSET($P14,0,CW$13),15-13*ORÇAMENTO!$AF$7)/$H14*OFFSET(ORÇAMENTO!$X$15,ROW(CW14)-ROW(CW$15),0),0)</f>
        <v>0</v>
      </c>
      <c r="CX14" s="628">
        <f ca="1">IF(AND($D14="Serviço",CX$12&lt;&gt;0,$H14&gt;0,OR(AUTOEVENTO&lt;&gt;"manual",$M14&lt;&gt;1)),ROUND(OFFSET($P14,0,CX$13),15-13*ORÇAMENTO!$AF$7)/$H14*OFFSET(ORÇAMENTO!$X$15,ROW(CX14)-ROW(CX$15),0),0)</f>
        <v>0</v>
      </c>
      <c r="CY14" s="628">
        <f ca="1">IF(AND($D14="Serviço",CY$12&lt;&gt;0,$H14&gt;0,OR(AUTOEVENTO&lt;&gt;"manual",$M14&lt;&gt;1)),ROUND(OFFSET($P14,0,CY$13),15-13*ORÇAMENTO!$AF$7)/$H14*OFFSET(ORÇAMENTO!$X$15,ROW(CY14)-ROW(CY$15),0),0)</f>
        <v>0</v>
      </c>
      <c r="CZ14" s="628">
        <f ca="1">IF(AND($D14="Serviço",CZ$12&lt;&gt;0,$H14&gt;0,OR(AUTOEVENTO&lt;&gt;"manual",$M14&lt;&gt;1)),ROUND(OFFSET($P14,0,CZ$13),15-13*ORÇAMENTO!$AF$7)/$H14*OFFSET(ORÇAMENTO!$X$15,ROW(CZ14)-ROW(CZ$15),0),0)</f>
        <v>0</v>
      </c>
      <c r="DA14" s="628">
        <f ca="1">IF(AND($D14="Serviço",DA$12&lt;&gt;0,$H14&gt;0,OR(AUTOEVENTO&lt;&gt;"manual",$M14&lt;&gt;1)),ROUND(OFFSET($P14,0,DA$13),15-13*ORÇAMENTO!$AF$7)/$H14*OFFSET(ORÇAMENTO!$X$15,ROW(DA14)-ROW(DA$15),0),0)</f>
        <v>0</v>
      </c>
      <c r="DB14" s="628">
        <f ca="1">IF(AND($D14="Serviço",DB$12&lt;&gt;0,$H14&gt;0,OR(AUTOEVENTO&lt;&gt;"manual",$M14&lt;&gt;1)),ROUND(OFFSET($P14,0,DB$13),15-13*ORÇAMENTO!$AF$7)/$H14*OFFSET(ORÇAMENTO!$X$15,ROW(DB14)-ROW(DB$15),0),0)</f>
        <v>0</v>
      </c>
      <c r="DC14" s="628">
        <f ca="1">IF(AND($D14="Serviço",DC$12&lt;&gt;0,$H14&gt;0,OR(AUTOEVENTO&lt;&gt;"manual",$M14&lt;&gt;1)),ROUND(OFFSET($P14,0,DC$13),15-13*ORÇAMENTO!$AF$7)/$H14*OFFSET(ORÇAMENTO!$X$15,ROW(DC14)-ROW(DC$15),0),0)</f>
        <v>0</v>
      </c>
      <c r="DD14" s="628">
        <f ca="1">IF(AND($D14="Serviço",DD$12&lt;&gt;0,$H14&gt;0,OR(AUTOEVENTO&lt;&gt;"manual",$M14&lt;&gt;1)),ROUND(OFFSET($P14,0,DD$13),15-13*ORÇAMENTO!$AF$7)/$H14*OFFSET(ORÇAMENTO!$X$15,ROW(DD14)-ROW(DD$15),0),0)</f>
        <v>0</v>
      </c>
      <c r="DE14" s="629">
        <f ca="1">IF(AND($D14="Serviço",DE$12&lt;&gt;0,$H14&gt;0,OR(AUTOEVENTO&lt;&gt;"manual",$M14&lt;&gt;1)),ROUND(OFFSET($P14,0,DE$13),15-13*ORÇAMENTO!$AF$7)/$H14*OFFSET(ORÇAMENTO!$X$15,ROW(DE14)-ROW(DE$15),0),0)</f>
        <v>0</v>
      </c>
      <c r="DF14" s="628">
        <f ca="1">IF(AND($D14="Serviço",DF$12&lt;&gt;0,$H14&gt;0,OR(AUTOEVENTO&lt;&gt;"manual",$M14&lt;&gt;1)),ROUND(OFFSET($P14,0,DF$13),15-13*ORÇAMENTO!$AF$7)/$H14*OFFSET(ORÇAMENTO!$X$15,ROW(DF14)-ROW(DF$15),0),0)</f>
        <v>0</v>
      </c>
      <c r="DG14" s="628">
        <f ca="1">IF(AND($D14="Serviço",DG$12&lt;&gt;0,$H14&gt;0,OR(AUTOEVENTO&lt;&gt;"manual",$M14&lt;&gt;1)),ROUND(OFFSET($P14,0,DG$13),15-13*ORÇAMENTO!$AF$7)/$H14*OFFSET(ORÇAMENTO!$X$15,ROW(DG14)-ROW(DG$15),0),0)</f>
        <v>0</v>
      </c>
      <c r="DH14" s="628">
        <f ca="1">IF(AND($D14="Serviço",DH$12&lt;&gt;0,$H14&gt;0,OR(AUTOEVENTO&lt;&gt;"manual",$M14&lt;&gt;1)),ROUND(OFFSET($P14,0,DH$13),15-13*ORÇAMENTO!$AF$7)/$H14*OFFSET(ORÇAMENTO!$X$15,ROW(DH14)-ROW(DH$15),0),0)</f>
        <v>0</v>
      </c>
      <c r="DI14" s="628">
        <f ca="1">IF(AND($D14="Serviço",DI$12&lt;&gt;0,$H14&gt;0,OR(AUTOEVENTO&lt;&gt;"manual",$M14&lt;&gt;1)),ROUND(OFFSET($P14,0,DI$13),15-13*ORÇAMENTO!$AF$7)/$H14*OFFSET(ORÇAMENTO!$X$15,ROW(DI14)-ROW(DI$15),0),0)</f>
        <v>0</v>
      </c>
      <c r="DJ14" s="628">
        <f ca="1">IF(AND($D14="Serviço",DJ$12&lt;&gt;0,$H14&gt;0,OR(AUTOEVENTO&lt;&gt;"manual",$M14&lt;&gt;1)),ROUND(OFFSET($P14,0,DJ$13),15-13*ORÇAMENTO!$AF$7)/$H14*OFFSET(ORÇAMENTO!$X$15,ROW(DJ14)-ROW(DJ$15),0),0)</f>
        <v>0</v>
      </c>
      <c r="DK14" s="628">
        <f ca="1">IF(AND($D14="Serviço",DK$12&lt;&gt;0,$H14&gt;0,OR(AUTOEVENTO&lt;&gt;"manual",$M14&lt;&gt;1)),ROUND(OFFSET($P14,0,DK$13),15-13*ORÇAMENTO!$AF$7)/$H14*OFFSET(ORÇAMENTO!$X$15,ROW(DK14)-ROW(DK$15),0),0)</f>
        <v>0</v>
      </c>
      <c r="DL14" s="628">
        <f ca="1">IF(AND($D14="Serviço",DL$12&lt;&gt;0,$H14&gt;0,OR(AUTOEVENTO&lt;&gt;"manual",$M14&lt;&gt;1)),ROUND(OFFSET($P14,0,DL$13),15-13*ORÇAMENTO!$AF$7)/$H14*OFFSET(ORÇAMENTO!$X$15,ROW(DL14)-ROW(DL$15),0),0)</f>
        <v>0</v>
      </c>
      <c r="DM14" s="629">
        <f ca="1">IF(AND($D14="Serviço",DM$12&lt;&gt;0,$H14&gt;0,OR(AUTOEVENTO&lt;&gt;"manual",$M14&lt;&gt;1)),ROUND(OFFSET($P14,0,DM$13),15-13*ORÇAMENTO!$AF$7)/$H14*OFFSET(ORÇAMENTO!$X$15,ROW(DM14)-ROW(DM$15),0),0)</f>
        <v>0</v>
      </c>
      <c r="DO14" s="211" t="e">
        <f ca="1">IF($D14&lt;&gt;"Serviço",0,IF(AND(AUTOEVENTO="Manual",$M14=1),0,IF(OFFSET(CRONOPLE!$F$14,$M14,DO$13)="",10^12,OFFSET(CRONOPLE!$F$14,$M14,DO$13))))</f>
        <v>#VALUE!</v>
      </c>
      <c r="DP14" s="211" t="e">
        <f ca="1">IF($D14&lt;&gt;"Serviço",0,IF(AND(AUTOEVENTO="Manual",$M14=1),0,IF(OFFSET(CRONOPLE!$F$14,$M14,DP$13)="",10^12,OFFSET(CRONOPLE!$F$14,$M14,DP$13))))</f>
        <v>#VALUE!</v>
      </c>
      <c r="DQ14" s="211" t="e">
        <f ca="1">IF($D14&lt;&gt;"Serviço",0,IF(AND(AUTOEVENTO="Manual",$M14=1),0,IF(OFFSET(CRONOPLE!$F$14,$M14,DQ$13)="",10^12,OFFSET(CRONOPLE!$F$14,$M14,DQ$13))))</f>
        <v>#VALUE!</v>
      </c>
      <c r="DR14" s="211" t="e">
        <f ca="1">IF($D14&lt;&gt;"Serviço",0,IF(AND(AUTOEVENTO="Manual",$M14=1),0,IF(OFFSET(CRONOPLE!$F$14,$M14,DR$13)="",10^12,OFFSET(CRONOPLE!$F$14,$M14,DR$13))))</f>
        <v>#VALUE!</v>
      </c>
      <c r="DS14" s="211" t="e">
        <f ca="1">IF($D14&lt;&gt;"Serviço",0,IF(AND(AUTOEVENTO="Manual",$M14=1),0,IF(OFFSET(CRONOPLE!$F$14,$M14,DS$13)="",10^12,OFFSET(CRONOPLE!$F$14,$M14,DS$13))))</f>
        <v>#VALUE!</v>
      </c>
      <c r="DT14" s="211" t="e">
        <f ca="1">IF($D14&lt;&gt;"Serviço",0,IF(AND(AUTOEVENTO="Manual",$M14=1),0,IF(OFFSET(CRONOPLE!$F$14,$M14,DT$13)="",10^12,OFFSET(CRONOPLE!$F$14,$M14,DT$13))))</f>
        <v>#VALUE!</v>
      </c>
      <c r="DU14" s="211" t="e">
        <f ca="1">IF($D14&lt;&gt;"Serviço",0,IF(AND(AUTOEVENTO="Manual",$M14=1),0,IF(OFFSET(CRONOPLE!$F$14,$M14,DU$13)="",10^12,OFFSET(CRONOPLE!$F$14,$M14,DU$13))))</f>
        <v>#VALUE!</v>
      </c>
      <c r="DV14" s="211" t="e">
        <f ca="1">IF($D14&lt;&gt;"Serviço",0,IF(AND(AUTOEVENTO="Manual",$M14=1),0,IF(OFFSET(CRONOPLE!$F$14,$M14,DV$13)="",10^12,OFFSET(CRONOPLE!$F$14,$M14,DV$13))))</f>
        <v>#VALUE!</v>
      </c>
      <c r="DW14" s="211" t="e">
        <f ca="1">IF($D14&lt;&gt;"Serviço",0,IF(AND(AUTOEVENTO="Manual",$M14=1),0,IF(OFFSET(CRONOPLE!$F$14,$M14,DW$13)="",10^12,OFFSET(CRONOPLE!$F$14,$M14,DW$13))))</f>
        <v>#VALUE!</v>
      </c>
      <c r="DX14" s="211" t="e">
        <f ca="1">IF($D14&lt;&gt;"Serviço",0,IF(AND(AUTOEVENTO="Manual",$M14=1),0,IF(OFFSET(CRONOPLE!$F$14,$M14,DX$13)="",10^12,OFFSET(CRONOPLE!$F$14,$M14,DX$13))))</f>
        <v>#VALUE!</v>
      </c>
      <c r="DY14" s="211" t="e">
        <f ca="1">IF($D14&lt;&gt;"Serviço",0,IF(AND(AUTOEVENTO="Manual",$M14=1),0,IF(OFFSET(CRONOPLE!$F$14,$M14,DY$13)="",10^12,OFFSET(CRONOPLE!$F$14,$M14,DY$13))))</f>
        <v>#VALUE!</v>
      </c>
      <c r="DZ14" s="211" t="e">
        <f ca="1">IF($D14&lt;&gt;"Serviço",0,IF(AND(AUTOEVENTO="Manual",$M14=1),0,IF(OFFSET(CRONOPLE!$F$14,$M14,DZ$13)="",10^12,OFFSET(CRONOPLE!$F$14,$M14,DZ$13))))</f>
        <v>#VALUE!</v>
      </c>
      <c r="EA14" s="211" t="e">
        <f ca="1">IF($D14&lt;&gt;"Serviço",0,IF(AND(AUTOEVENTO="Manual",$M14=1),0,IF(OFFSET(CRONOPLE!$F$14,$M14,EA$13)="",10^12,OFFSET(CRONOPLE!$F$14,$M14,EA$13))))</f>
        <v>#VALUE!</v>
      </c>
      <c r="EB14" s="211" t="e">
        <f ca="1">IF($D14&lt;&gt;"Serviço",0,IF(AND(AUTOEVENTO="Manual",$M14=1),0,IF(OFFSET(CRONOPLE!$F$14,$M14,EB$13)="",10^12,OFFSET(CRONOPLE!$F$14,$M14,EB$13))))</f>
        <v>#VALUE!</v>
      </c>
      <c r="EC14" s="211" t="e">
        <f ca="1">IF($D14&lt;&gt;"Serviço",0,IF(AND(AUTOEVENTO="Manual",$M14=1),0,IF(OFFSET(CRONOPLE!$F$14,$M14,EC$13)="",10^12,OFFSET(CRONOPLE!$F$14,$M14,EC$13))))</f>
        <v>#VALUE!</v>
      </c>
      <c r="ED14" s="211" t="e">
        <f ca="1">IF($D14&lt;&gt;"Serviço",0,IF(AND(AUTOEVENTO="Manual",$M14=1),0,IF(OFFSET(CRONOPLE!$F$14,$M14,ED$13)="",10^12,OFFSET(CRONOPLE!$F$14,$M14,ED$13))))</f>
        <v>#VALUE!</v>
      </c>
      <c r="EE14" s="211" t="e">
        <f ca="1">IF($D14&lt;&gt;"Serviço",0,IF(AND(AUTOEVENTO="Manual",$M14=1),0,IF(OFFSET(CRONOPLE!$F$14,$M14,EE$13)="",10^12,OFFSET(CRONOPLE!$F$14,$M14,EE$13))))</f>
        <v>#VALUE!</v>
      </c>
      <c r="EF14" s="211" t="e">
        <f ca="1">IF($D14&lt;&gt;"Serviço",0,IF(AND(AUTOEVENTO="Manual",$M14=1),0,IF(OFFSET(CRONOPLE!$F$14,$M14,EF$13)="",10^12,OFFSET(CRONOPLE!$F$14,$M14,EF$13))))</f>
        <v>#VALUE!</v>
      </c>
      <c r="EG14" s="211" t="e">
        <f ca="1">IF($D14&lt;&gt;"Serviço",0,IF(AND(AUTOEVENTO="Manual",$M14=1),0,IF(OFFSET(CRONOPLE!$F$14,$M14,EG$13)="",10^12,OFFSET(CRONOPLE!$F$14,$M14,EG$13))))</f>
        <v>#VALUE!</v>
      </c>
      <c r="EH14" s="211" t="e">
        <f ca="1">IF($D14&lt;&gt;"Serviço",0,IF(AND(AUTOEVENTO="Manual",$M14=1),0,IF(OFFSET(CRONOPLE!$F$14,$M14,EH$13)="",10^12,OFFSET(CRONOPLE!$F$14,$M14,EH$13))))</f>
        <v>#VALUE!</v>
      </c>
      <c r="EI14" s="211" t="e">
        <f ca="1">IF($D14&lt;&gt;"Serviço",0,IF(AND(AUTOEVENTO="Manual",$M14=1),0,IF(OFFSET(CRONOPLE!$F$14,$M14,EI$13)="",10^12,OFFSET(CRONOPLE!$F$14,$M14,EI$13))))</f>
        <v>#VALUE!</v>
      </c>
      <c r="EJ14" s="211" t="e">
        <f ca="1">IF($D14&lt;&gt;"Serviço",0,IF(AND(AUTOEVENTO="Manual",$M14=1),0,IF(OFFSET(CRONOPLE!$F$14,$M14,EJ$13)="",10^12,OFFSET(CRONOPLE!$F$14,$M14,EJ$13))))</f>
        <v>#VALUE!</v>
      </c>
      <c r="EK14" s="211" t="e">
        <f ca="1">IF($D14&lt;&gt;"Serviço",0,IF(AND(AUTOEVENTO="Manual",$M14=1),0,IF(OFFSET(CRONOPLE!$F$14,$M14,EK$13)="",10^12,OFFSET(CRONOPLE!$F$14,$M14,EK$13))))</f>
        <v>#VALUE!</v>
      </c>
      <c r="EL14" s="211" t="e">
        <f ca="1">IF($D14&lt;&gt;"Serviço",0,IF(AND(AUTOEVENTO="Manual",$M14=1),0,IF(OFFSET(CRONOPLE!$F$14,$M14,EL$13)="",10^12,OFFSET(CRONOPLE!$F$14,$M14,EL$13))))</f>
        <v>#VALUE!</v>
      </c>
      <c r="EM14" s="211" t="e">
        <f ca="1">IF($D14&lt;&gt;"Serviço",0,IF(AND(AUTOEVENTO="Manual",$M14=1),0,IF(OFFSET(CRONOPLE!$F$14,$M14,EM$13)="",10^12,OFFSET(CRONOPLE!$F$14,$M14,EM$13))))</f>
        <v>#VALUE!</v>
      </c>
      <c r="EN14" s="211" t="e">
        <f ca="1">IF($D14&lt;&gt;"Serviço",0,IF(AND(AUTOEVENTO="Manual",$M14=1),0,IF(OFFSET(CRONOPLE!$F$14,$M14,EN$13)="",10^12,OFFSET(CRONOPLE!$F$14,$M14,EN$13))))</f>
        <v>#VALUE!</v>
      </c>
      <c r="EO14" s="211" t="e">
        <f ca="1">IF($D14&lt;&gt;"Serviço",0,IF(AND(AUTOEVENTO="Manual",$M14=1),0,IF(OFFSET(CRONOPLE!$F$14,$M14,EO$13)="",10^12,OFFSET(CRONOPLE!$F$14,$M14,EO$13))))</f>
        <v>#VALUE!</v>
      </c>
      <c r="EP14" s="211" t="e">
        <f ca="1">IF($D14&lt;&gt;"Serviço",0,IF(AND(AUTOEVENTO="Manual",$M14=1),0,IF(OFFSET(CRONOPLE!$F$14,$M14,EP$13)="",10^12,OFFSET(CRONOPLE!$F$14,$M14,EP$13))))</f>
        <v>#VALUE!</v>
      </c>
      <c r="EQ14" s="211" t="e">
        <f ca="1">IF($D14&lt;&gt;"Serviço",0,IF(AND(AUTOEVENTO="Manual",$M14=1),0,IF(OFFSET(CRONOPLE!$F$14,$M14,EQ$13)="",10^12,OFFSET(CRONOPLE!$F$14,$M14,EQ$13))))</f>
        <v>#VALUE!</v>
      </c>
      <c r="ER14" s="211" t="e">
        <f ca="1">IF($D14&lt;&gt;"Serviço",0,IF(AND(AUTOEVENTO="Manual",$M14=1),0,IF(OFFSET(CRONOPLE!$F$14,$M14,ER$13)="",10^12,OFFSET(CRONOPLE!$F$14,$M14,ER$13))))</f>
        <v>#VALUE!</v>
      </c>
      <c r="ES14" s="211" t="e">
        <f ca="1">IF($D14&lt;&gt;"Serviço",0,IF(AND(AUTOEVENTO="Manual",$M14=1),0,IF(OFFSET(CRONOPLE!$F$14,$M14,ES$13)="",10^12,OFFSET(CRONOPLE!$F$14,$M14,ES$13))))</f>
        <v>#VALUE!</v>
      </c>
      <c r="ET14" s="211" t="e">
        <f ca="1">IF($D14&lt;&gt;"Serviço",0,IF(AND(AUTOEVENTO="Manual",$M14=1),0,IF(OFFSET(CRONOPLE!$F$14,$M14,ET$13)="",10^12,OFFSET(CRONOPLE!$F$14,$M14,ET$13))))</f>
        <v>#VALUE!</v>
      </c>
      <c r="EU14" s="211" t="e">
        <f ca="1">IF($D14&lt;&gt;"Serviço",0,IF(AND(AUTOEVENTO="Manual",$M14=1),0,IF(OFFSET(CRONOPLE!$F$14,$M14,EU$13)="",10^12,OFFSET(CRONOPLE!$F$14,$M14,EU$13))))</f>
        <v>#VALUE!</v>
      </c>
      <c r="EV14" s="211" t="e">
        <f ca="1">IF($D14&lt;&gt;"Serviço",0,IF(AND(AUTOEVENTO="Manual",$M14=1),0,IF(OFFSET(CRONOPLE!$F$14,$M14,EV$13)="",10^12,OFFSET(CRONOPLE!$F$14,$M14,EV$13))))</f>
        <v>#VALUE!</v>
      </c>
      <c r="EW14" s="211" t="e">
        <f ca="1">IF($D14&lt;&gt;"Serviço",0,IF(AND(AUTOEVENTO="Manual",$M14=1),0,IF(OFFSET(CRONOPLE!$F$14,$M14,EW$13)="",10^12,OFFSET(CRONOPLE!$F$14,$M14,EW$13))))</f>
        <v>#VALUE!</v>
      </c>
      <c r="EX14" s="211" t="e">
        <f ca="1">IF($D14&lt;&gt;"Serviço",0,IF(AND(AUTOEVENTO="Manual",$M14=1),0,IF(OFFSET(CRONOPLE!$F$14,$M14,EX$13)="",10^12,OFFSET(CRONOPLE!$F$14,$M14,EX$13))))</f>
        <v>#VALUE!</v>
      </c>
      <c r="EY14" s="211" t="e">
        <f ca="1">IF($D14&lt;&gt;"Serviço",0,IF(AND(AUTOEVENTO="Manual",$M14=1),0,IF(OFFSET(CRONOPLE!$F$14,$M14,EY$13)="",10^12,OFFSET(CRONOPLE!$F$14,$M14,EY$13))))</f>
        <v>#VALUE!</v>
      </c>
      <c r="EZ14" s="211" t="e">
        <f ca="1">IF($D14&lt;&gt;"Serviço",0,IF(AND(AUTOEVENTO="Manual",$M14=1),0,IF(OFFSET(CRONOPLE!$F$14,$M14,EZ$13)="",10^12,OFFSET(CRONOPLE!$F$14,$M14,EZ$13))))</f>
        <v>#VALUE!</v>
      </c>
      <c r="FA14" s="211" t="e">
        <f ca="1">IF($D14&lt;&gt;"Serviço",0,IF(AND(AUTOEVENTO="Manual",$M14=1),0,IF(OFFSET(CRONOPLE!$F$14,$M14,FA$13)="",10^12,OFFSET(CRONOPLE!$F$14,$M14,FA$13))))</f>
        <v>#VALUE!</v>
      </c>
      <c r="FB14" s="211" t="e">
        <f ca="1">IF($D14&lt;&gt;"Serviço",0,IF(AND(AUTOEVENTO="Manual",$M14=1),0,IF(OFFSET(CRONOPLE!$F$14,$M14,FB$13)="",10^12,OFFSET(CRONOPLE!$F$14,$M14,FB$13))))</f>
        <v>#VALUE!</v>
      </c>
      <c r="FC14" s="211" t="e">
        <f ca="1">IF($D14&lt;&gt;"Serviço",0,IF(AND(AUTOEVENTO="Manual",$M14=1),0,IF(OFFSET(CRONOPLE!$F$14,$M14,FC$13)="",10^12,OFFSET(CRONOPLE!$F$14,$M14,FC$13))))</f>
        <v>#VALUE!</v>
      </c>
      <c r="FD14" s="211" t="e">
        <f ca="1">IF($D14&lt;&gt;"Serviço",0,IF(AND(AUTOEVENTO="Manual",$M14=1),0,IF(OFFSET(CRONOPLE!$F$14,$M14,FD$13)="",10^12,OFFSET(CRONOPLE!$F$14,$M14,FD$13))))</f>
        <v>#VALUE!</v>
      </c>
      <c r="FE14" s="211" t="e">
        <f ca="1">IF($D14&lt;&gt;"Serviço",0,IF(AND(AUTOEVENTO="Manual",$M14=1),0,IF(OFFSET(CRONOPLE!$F$14,$M14,FE$13)="",10^12,OFFSET(CRONOPLE!$F$14,$M14,FE$13))))</f>
        <v>#VALUE!</v>
      </c>
      <c r="FF14" s="211" t="e">
        <f ca="1">IF($D14&lt;&gt;"Serviço",0,IF(AND(AUTOEVENTO="Manual",$M14=1),0,IF(OFFSET(CRONOPLE!$F$14,$M14,FF$13)="",10^12,OFFSET(CRONOPLE!$F$14,$M14,FF$13))))</f>
        <v>#VALUE!</v>
      </c>
      <c r="FG14" s="211" t="e">
        <f ca="1">IF($D14&lt;&gt;"Serviço",0,IF(AND(AUTOEVENTO="Manual",$M14=1),0,IF(OFFSET(CRONOPLE!$F$14,$M14,FG$13)="",10^12,OFFSET(CRONOPLE!$F$14,$M14,FG$13))))</f>
        <v>#VALUE!</v>
      </c>
      <c r="FH14" s="211" t="e">
        <f ca="1">IF($D14&lt;&gt;"Serviço",0,IF(AND(AUTOEVENTO="Manual",$M14=1),0,IF(OFFSET(CRONOPLE!$F$14,$M14,FH$13)="",10^12,OFFSET(CRONOPLE!$F$14,$M14,FH$13))))</f>
        <v>#VALUE!</v>
      </c>
      <c r="FI14" s="211" t="e">
        <f ca="1">IF($D14&lt;&gt;"Serviço",0,IF(AND(AUTOEVENTO="Manual",$M14=1),0,IF(OFFSET(CRONOPLE!$F$14,$M14,FI$13)="",10^12,OFFSET(CRONOPLE!$F$14,$M14,FI$13))))</f>
        <v>#VALUE!</v>
      </c>
      <c r="FJ14" s="211" t="e">
        <f ca="1">IF($D14&lt;&gt;"Serviço",0,IF(AND(AUTOEVENTO="Manual",$M14=1),0,IF(OFFSET(CRONOPLE!$F$14,$M14,FJ$13)="",10^12,OFFSET(CRONOPLE!$F$14,$M14,FJ$13))))</f>
        <v>#VALUE!</v>
      </c>
      <c r="FK14" s="211" t="e">
        <f ca="1">IF($D14&lt;&gt;"Serviço",0,IF(AND(AUTOEVENTO="Manual",$M14=1),0,IF(OFFSET(CRONOPLE!$F$14,$M14,FK$13)="",10^12,OFFSET(CRONOPLE!$F$14,$M14,FK$13))))</f>
        <v>#VALUE!</v>
      </c>
      <c r="FL14" s="211" t="e">
        <f ca="1">IF($D14&lt;&gt;"Serviço",0,IF(AND(AUTOEVENTO="Manual",$M14=1),0,IF(OFFSET(CRONOPLE!$F$14,$M14,FL$13)="",10^12,OFFSET(CRONOPLE!$F$14,$M14,FL$13))))</f>
        <v>#VALUE!</v>
      </c>
      <c r="FN14" s="212">
        <f ca="1">IF($D14&lt;&gt;"Serviço",0,IF(OR(AND(AUTOEVENTO="Manual",$M14=1),$M14&gt;(ROW(PLE.lastrow)-ROW(PLE.firstrow))),0,IF(OFFSET(PLE!$G$14,$M14,FN$13)="",10^12,OFFSET(PLE!$G$14,$M14,FN$13))))</f>
        <v>0</v>
      </c>
      <c r="FO14" s="212">
        <f ca="1">IF($D14&lt;&gt;"Serviço",0,IF(OR(AND(AUTOEVENTO="Manual",$M14=1),$M14&gt;(ROW(PLE.lastrow)-ROW(PLE.firstrow))),0,IF(OFFSET(PLE!$G$14,$M14,FO$13)="",10^12,OFFSET(PLE!$G$14,$M14,FO$13))))</f>
        <v>0</v>
      </c>
      <c r="FP14" s="212">
        <f ca="1">IF($D14&lt;&gt;"Serviço",0,IF(OR(AND(AUTOEVENTO="Manual",$M14=1),$M14&gt;(ROW(PLE.lastrow)-ROW(PLE.firstrow))),0,IF(OFFSET(PLE!$G$14,$M14,FP$13)="",10^12,OFFSET(PLE!$G$14,$M14,FP$13))))</f>
        <v>0</v>
      </c>
      <c r="FQ14" s="212">
        <f ca="1">IF($D14&lt;&gt;"Serviço",0,IF(OR(AND(AUTOEVENTO="Manual",$M14=1),$M14&gt;(ROW(PLE.lastrow)-ROW(PLE.firstrow))),0,IF(OFFSET(PLE!$G$14,$M14,FQ$13)="",10^12,OFFSET(PLE!$G$14,$M14,FQ$13))))</f>
        <v>0</v>
      </c>
      <c r="FR14" s="212">
        <f ca="1">IF($D14&lt;&gt;"Serviço",0,IF(OR(AND(AUTOEVENTO="Manual",$M14=1),$M14&gt;(ROW(PLE.lastrow)-ROW(PLE.firstrow))),0,IF(OFFSET(PLE!$G$14,$M14,FR$13)="",10^12,OFFSET(PLE!$G$14,$M14,FR$13))))</f>
        <v>0</v>
      </c>
      <c r="FS14" s="212">
        <f ca="1">IF($D14&lt;&gt;"Serviço",0,IF(OR(AND(AUTOEVENTO="Manual",$M14=1),$M14&gt;(ROW(PLE.lastrow)-ROW(PLE.firstrow))),0,IF(OFFSET(PLE!$G$14,$M14,FS$13)="",10^12,OFFSET(PLE!$G$14,$M14,FS$13))))</f>
        <v>0</v>
      </c>
      <c r="FT14" s="212">
        <f ca="1">IF($D14&lt;&gt;"Serviço",0,IF(OR(AND(AUTOEVENTO="Manual",$M14=1),$M14&gt;(ROW(PLE.lastrow)-ROW(PLE.firstrow))),0,IF(OFFSET(PLE!$G$14,$M14,FT$13)="",10^12,OFFSET(PLE!$G$14,$M14,FT$13))))</f>
        <v>0</v>
      </c>
      <c r="FU14" s="212">
        <f ca="1">IF($D14&lt;&gt;"Serviço",0,IF(OR(AND(AUTOEVENTO="Manual",$M14=1),$M14&gt;(ROW(PLE.lastrow)-ROW(PLE.firstrow))),0,IF(OFFSET(PLE!$G$14,$M14,FU$13)="",10^12,OFFSET(PLE!$G$14,$M14,FU$13))))</f>
        <v>0</v>
      </c>
      <c r="FV14" s="212">
        <f ca="1">IF($D14&lt;&gt;"Serviço",0,IF(OR(AND(AUTOEVENTO="Manual",$M14=1),$M14&gt;(ROW(PLE.lastrow)-ROW(PLE.firstrow))),0,IF(OFFSET(PLE!$G$14,$M14,FV$13)="",10^12,OFFSET(PLE!$G$14,$M14,FV$13))))</f>
        <v>0</v>
      </c>
      <c r="FW14" s="212">
        <f ca="1">IF($D14&lt;&gt;"Serviço",0,IF(OR(AND(AUTOEVENTO="Manual",$M14=1),$M14&gt;(ROW(PLE.lastrow)-ROW(PLE.firstrow))),0,IF(OFFSET(PLE!$G$14,$M14,FW$13)="",10^12,OFFSET(PLE!$G$14,$M14,FW$13))))</f>
        <v>0</v>
      </c>
      <c r="FX14" s="212">
        <f ca="1">IF($D14&lt;&gt;"Serviço",0,IF(OR(AND(AUTOEVENTO="Manual",$M14=1),$M14&gt;(ROW(PLE.lastrow)-ROW(PLE.firstrow))),0,IF(OFFSET(PLE!$G$14,$M14,FX$13)="",10^12,OFFSET(PLE!$G$14,$M14,FX$13))))</f>
        <v>0</v>
      </c>
      <c r="FY14" s="212">
        <f ca="1">IF($D14&lt;&gt;"Serviço",0,IF(OR(AND(AUTOEVENTO="Manual",$M14=1),$M14&gt;(ROW(PLE.lastrow)-ROW(PLE.firstrow))),0,IF(OFFSET(PLE!$G$14,$M14,FY$13)="",10^12,OFFSET(PLE!$G$14,$M14,FY$13))))</f>
        <v>0</v>
      </c>
      <c r="FZ14" s="212">
        <f ca="1">IF($D14&lt;&gt;"Serviço",0,IF(OR(AND(AUTOEVENTO="Manual",$M14=1),$M14&gt;(ROW(PLE.lastrow)-ROW(PLE.firstrow))),0,IF(OFFSET(PLE!$G$14,$M14,FZ$13)="",10^12,OFFSET(PLE!$G$14,$M14,FZ$13))))</f>
        <v>0</v>
      </c>
      <c r="GA14" s="212">
        <f ca="1">IF($D14&lt;&gt;"Serviço",0,IF(OR(AND(AUTOEVENTO="Manual",$M14=1),$M14&gt;(ROW(PLE.lastrow)-ROW(PLE.firstrow))),0,IF(OFFSET(PLE!$G$14,$M14,GA$13)="",10^12,OFFSET(PLE!$G$14,$M14,GA$13))))</f>
        <v>0</v>
      </c>
      <c r="GB14" s="212">
        <f ca="1">IF($D14&lt;&gt;"Serviço",0,IF(OR(AND(AUTOEVENTO="Manual",$M14=1),$M14&gt;(ROW(PLE.lastrow)-ROW(PLE.firstrow))),0,IF(OFFSET(PLE!$G$14,$M14,GB$13)="",10^12,OFFSET(PLE!$G$14,$M14,GB$13))))</f>
        <v>0</v>
      </c>
      <c r="GC14" s="212">
        <f ca="1">IF($D14&lt;&gt;"Serviço",0,IF(OR(AND(AUTOEVENTO="Manual",$M14=1),$M14&gt;(ROW(PLE.lastrow)-ROW(PLE.firstrow))),0,IF(OFFSET(PLE!$G$14,$M14,GC$13)="",10^12,OFFSET(PLE!$G$14,$M14,GC$13))))</f>
        <v>0</v>
      </c>
      <c r="GD14" s="212">
        <f ca="1">IF($D14&lt;&gt;"Serviço",0,IF(OR(AND(AUTOEVENTO="Manual",$M14=1),$M14&gt;(ROW(PLE.lastrow)-ROW(PLE.firstrow))),0,IF(OFFSET(PLE!$G$14,$M14,GD$13)="",10^12,OFFSET(PLE!$G$14,$M14,GD$13))))</f>
        <v>0</v>
      </c>
      <c r="GE14" s="212">
        <f ca="1">IF($D14&lt;&gt;"Serviço",0,IF(OR(AND(AUTOEVENTO="Manual",$M14=1),$M14&gt;(ROW(PLE.lastrow)-ROW(PLE.firstrow))),0,IF(OFFSET(PLE!$G$14,$M14,GE$13)="",10^12,OFFSET(PLE!$G$14,$M14,GE$13))))</f>
        <v>0</v>
      </c>
      <c r="GF14" s="212">
        <f ca="1">IF($D14&lt;&gt;"Serviço",0,IF(OR(AND(AUTOEVENTO="Manual",$M14=1),$M14&gt;(ROW(PLE.lastrow)-ROW(PLE.firstrow))),0,IF(OFFSET(PLE!$G$14,$M14,GF$13)="",10^12,OFFSET(PLE!$G$14,$M14,GF$13))))</f>
        <v>0</v>
      </c>
      <c r="GG14" s="212">
        <f ca="1">IF($D14&lt;&gt;"Serviço",0,IF(OR(AND(AUTOEVENTO="Manual",$M14=1),$M14&gt;(ROW(PLE.lastrow)-ROW(PLE.firstrow))),0,IF(OFFSET(PLE!$G$14,$M14,GG$13)="",10^12,OFFSET(PLE!$G$14,$M14,GG$13))))</f>
        <v>0</v>
      </c>
      <c r="GH14" s="212">
        <f ca="1">IF($D14&lt;&gt;"Serviço",0,IF(OR(AND(AUTOEVENTO="Manual",$M14=1),$M14&gt;(ROW(PLE.lastrow)-ROW(PLE.firstrow))),0,IF(OFFSET(PLE!$G$14,$M14,GH$13)="",10^12,OFFSET(PLE!$G$14,$M14,GH$13))))</f>
        <v>0</v>
      </c>
      <c r="GI14" s="212">
        <f ca="1">IF($D14&lt;&gt;"Serviço",0,IF(OR(AND(AUTOEVENTO="Manual",$M14=1),$M14&gt;(ROW(PLE.lastrow)-ROW(PLE.firstrow))),0,IF(OFFSET(PLE!$G$14,$M14,GI$13)="",10^12,OFFSET(PLE!$G$14,$M14,GI$13))))</f>
        <v>0</v>
      </c>
      <c r="GJ14" s="212">
        <f ca="1">IF($D14&lt;&gt;"Serviço",0,IF(OR(AND(AUTOEVENTO="Manual",$M14=1),$M14&gt;(ROW(PLE.lastrow)-ROW(PLE.firstrow))),0,IF(OFFSET(PLE!$G$14,$M14,GJ$13)="",10^12,OFFSET(PLE!$G$14,$M14,GJ$13))))</f>
        <v>0</v>
      </c>
      <c r="GK14" s="212">
        <f ca="1">IF($D14&lt;&gt;"Serviço",0,IF(OR(AND(AUTOEVENTO="Manual",$M14=1),$M14&gt;(ROW(PLE.lastrow)-ROW(PLE.firstrow))),0,IF(OFFSET(PLE!$G$14,$M14,GK$13)="",10^12,OFFSET(PLE!$G$14,$M14,GK$13))))</f>
        <v>0</v>
      </c>
      <c r="GL14" s="212">
        <f ca="1">IF($D14&lt;&gt;"Serviço",0,IF(OR(AND(AUTOEVENTO="Manual",$M14=1),$M14&gt;(ROW(PLE.lastrow)-ROW(PLE.firstrow))),0,IF(OFFSET(PLE!$G$14,$M14,GL$13)="",10^12,OFFSET(PLE!$G$14,$M14,GL$13))))</f>
        <v>0</v>
      </c>
      <c r="GM14" s="212">
        <f ca="1">IF($D14&lt;&gt;"Serviço",0,IF(OR(AND(AUTOEVENTO="Manual",$M14=1),$M14&gt;(ROW(PLE.lastrow)-ROW(PLE.firstrow))),0,IF(OFFSET(PLE!$G$14,$M14,GM$13)="",10^12,OFFSET(PLE!$G$14,$M14,GM$13))))</f>
        <v>0</v>
      </c>
      <c r="GN14" s="212">
        <f ca="1">IF($D14&lt;&gt;"Serviço",0,IF(OR(AND(AUTOEVENTO="Manual",$M14=1),$M14&gt;(ROW(PLE.lastrow)-ROW(PLE.firstrow))),0,IF(OFFSET(PLE!$G$14,$M14,GN$13)="",10^12,OFFSET(PLE!$G$14,$M14,GN$13))))</f>
        <v>0</v>
      </c>
      <c r="GO14" s="212">
        <f ca="1">IF($D14&lt;&gt;"Serviço",0,IF(OR(AND(AUTOEVENTO="Manual",$M14=1),$M14&gt;(ROW(PLE.lastrow)-ROW(PLE.firstrow))),0,IF(OFFSET(PLE!$G$14,$M14,GO$13)="",10^12,OFFSET(PLE!$G$14,$M14,GO$13))))</f>
        <v>0</v>
      </c>
      <c r="GP14" s="212">
        <f ca="1">IF($D14&lt;&gt;"Serviço",0,IF(OR(AND(AUTOEVENTO="Manual",$M14=1),$M14&gt;(ROW(PLE.lastrow)-ROW(PLE.firstrow))),0,IF(OFFSET(PLE!$G$14,$M14,GP$13)="",10^12,OFFSET(PLE!$G$14,$M14,GP$13))))</f>
        <v>0</v>
      </c>
      <c r="GQ14" s="212">
        <f ca="1">IF($D14&lt;&gt;"Serviço",0,IF(OR(AND(AUTOEVENTO="Manual",$M14=1),$M14&gt;(ROW(PLE.lastrow)-ROW(PLE.firstrow))),0,IF(OFFSET(PLE!$G$14,$M14,GQ$13)="",10^12,OFFSET(PLE!$G$14,$M14,GQ$13))))</f>
        <v>0</v>
      </c>
      <c r="GR14" s="212">
        <f ca="1">IF($D14&lt;&gt;"Serviço",0,IF(OR(AND(AUTOEVENTO="Manual",$M14=1),$M14&gt;(ROW(PLE.lastrow)-ROW(PLE.firstrow))),0,IF(OFFSET(PLE!$G$14,$M14,GR$13)="",10^12,OFFSET(PLE!$G$14,$M14,GR$13))))</f>
        <v>0</v>
      </c>
      <c r="GS14" s="212">
        <f ca="1">IF($D14&lt;&gt;"Serviço",0,IF(OR(AND(AUTOEVENTO="Manual",$M14=1),$M14&gt;(ROW(PLE.lastrow)-ROW(PLE.firstrow))),0,IF(OFFSET(PLE!$G$14,$M14,GS$13)="",10^12,OFFSET(PLE!$G$14,$M14,GS$13))))</f>
        <v>0</v>
      </c>
      <c r="GT14" s="212">
        <f ca="1">IF($D14&lt;&gt;"Serviço",0,IF(OR(AND(AUTOEVENTO="Manual",$M14=1),$M14&gt;(ROW(PLE.lastrow)-ROW(PLE.firstrow))),0,IF(OFFSET(PLE!$G$14,$M14,GT$13)="",10^12,OFFSET(PLE!$G$14,$M14,GT$13))))</f>
        <v>0</v>
      </c>
      <c r="GU14" s="212">
        <f ca="1">IF($D14&lt;&gt;"Serviço",0,IF(OR(AND(AUTOEVENTO="Manual",$M14=1),$M14&gt;(ROW(PLE.lastrow)-ROW(PLE.firstrow))),0,IF(OFFSET(PLE!$G$14,$M14,GU$13)="",10^12,OFFSET(PLE!$G$14,$M14,GU$13))))</f>
        <v>0</v>
      </c>
      <c r="GV14" s="212">
        <f ca="1">IF($D14&lt;&gt;"Serviço",0,IF(OR(AND(AUTOEVENTO="Manual",$M14=1),$M14&gt;(ROW(PLE.lastrow)-ROW(PLE.firstrow))),0,IF(OFFSET(PLE!$G$14,$M14,GV$13)="",10^12,OFFSET(PLE!$G$14,$M14,GV$13))))</f>
        <v>0</v>
      </c>
      <c r="GW14" s="212">
        <f ca="1">IF($D14&lt;&gt;"Serviço",0,IF(OR(AND(AUTOEVENTO="Manual",$M14=1),$M14&gt;(ROW(PLE.lastrow)-ROW(PLE.firstrow))),0,IF(OFFSET(PLE!$G$14,$M14,GW$13)="",10^12,OFFSET(PLE!$G$14,$M14,GW$13))))</f>
        <v>0</v>
      </c>
      <c r="GX14" s="212">
        <f ca="1">IF($D14&lt;&gt;"Serviço",0,IF(OR(AND(AUTOEVENTO="Manual",$M14=1),$M14&gt;(ROW(PLE.lastrow)-ROW(PLE.firstrow))),0,IF(OFFSET(PLE!$G$14,$M14,GX$13)="",10^12,OFFSET(PLE!$G$14,$M14,GX$13))))</f>
        <v>0</v>
      </c>
      <c r="GY14" s="212">
        <f ca="1">IF($D14&lt;&gt;"Serviço",0,IF(OR(AND(AUTOEVENTO="Manual",$M14=1),$M14&gt;(ROW(PLE.lastrow)-ROW(PLE.firstrow))),0,IF(OFFSET(PLE!$G$14,$M14,GY$13)="",10^12,OFFSET(PLE!$G$14,$M14,GY$13))))</f>
        <v>0</v>
      </c>
      <c r="GZ14" s="212">
        <f ca="1">IF($D14&lt;&gt;"Serviço",0,IF(OR(AND(AUTOEVENTO="Manual",$M14=1),$M14&gt;(ROW(PLE.lastrow)-ROW(PLE.firstrow))),0,IF(OFFSET(PLE!$G$14,$M14,GZ$13)="",10^12,OFFSET(PLE!$G$14,$M14,GZ$13))))</f>
        <v>0</v>
      </c>
      <c r="HA14" s="212">
        <f ca="1">IF($D14&lt;&gt;"Serviço",0,IF(OR(AND(AUTOEVENTO="Manual",$M14=1),$M14&gt;(ROW(PLE.lastrow)-ROW(PLE.firstrow))),0,IF(OFFSET(PLE!$G$14,$M14,HA$13)="",10^12,OFFSET(PLE!$G$14,$M14,HA$13))))</f>
        <v>0</v>
      </c>
      <c r="HB14" s="212">
        <f ca="1">IF($D14&lt;&gt;"Serviço",0,IF(OR(AND(AUTOEVENTO="Manual",$M14=1),$M14&gt;(ROW(PLE.lastrow)-ROW(PLE.firstrow))),0,IF(OFFSET(PLE!$G$14,$M14,HB$13)="",10^12,OFFSET(PLE!$G$14,$M14,HB$13))))</f>
        <v>0</v>
      </c>
      <c r="HC14" s="212">
        <f ca="1">IF($D14&lt;&gt;"Serviço",0,IF(OR(AND(AUTOEVENTO="Manual",$M14=1),$M14&gt;(ROW(PLE.lastrow)-ROW(PLE.firstrow))),0,IF(OFFSET(PLE!$G$14,$M14,HC$13)="",10^12,OFFSET(PLE!$G$14,$M14,HC$13))))</f>
        <v>0</v>
      </c>
      <c r="HD14" s="212">
        <f ca="1">IF($D14&lt;&gt;"Serviço",0,IF(OR(AND(AUTOEVENTO="Manual",$M14=1),$M14&gt;(ROW(PLE.lastrow)-ROW(PLE.firstrow))),0,IF(OFFSET(PLE!$G$14,$M14,HD$13)="",10^12,OFFSET(PLE!$G$14,$M14,HD$13))))</f>
        <v>0</v>
      </c>
      <c r="HE14" s="212">
        <f ca="1">IF($D14&lt;&gt;"Serviço",0,IF(OR(AND(AUTOEVENTO="Manual",$M14=1),$M14&gt;(ROW(PLE.lastrow)-ROW(PLE.firstrow))),0,IF(OFFSET(PLE!$G$14,$M14,HE$13)="",10^12,OFFSET(PLE!$G$14,$M14,HE$13))))</f>
        <v>0</v>
      </c>
      <c r="HF14" s="212">
        <f ca="1">IF($D14&lt;&gt;"Serviço",0,IF(OR(AND(AUTOEVENTO="Manual",$M14=1),$M14&gt;(ROW(PLE.lastrow)-ROW(PLE.firstrow))),0,IF(OFFSET(PLE!$G$14,$M14,HF$13)="",10^12,OFFSET(PLE!$G$14,$M14,HF$13))))</f>
        <v>0</v>
      </c>
      <c r="HG14" s="212">
        <f ca="1">IF($D14&lt;&gt;"Serviço",0,IF(OR(AND(AUTOEVENTO="Manual",$M14=1),$M14&gt;(ROW(PLE.lastrow)-ROW(PLE.firstrow))),0,IF(OFFSET(PLE!$G$14,$M14,HG$13)="",10^12,OFFSET(PLE!$G$14,$M14,HG$13))))</f>
        <v>0</v>
      </c>
      <c r="HH14" s="212">
        <f ca="1">IF($D14&lt;&gt;"Serviço",0,IF(OR(AND(AUTOEVENTO="Manual",$M14=1),$M14&gt;(ROW(PLE.lastrow)-ROW(PLE.firstrow))),0,IF(OFFSET(PLE!$G$14,$M14,HH$13)="",10^12,OFFSET(PLE!$G$14,$M14,HH$13))))</f>
        <v>0</v>
      </c>
      <c r="HI14" s="212">
        <f ca="1">IF($D14&lt;&gt;"Serviço",0,IF(OR(AND(AUTOEVENTO="Manual",$M14=1),$M14&gt;(ROW(PLE.lastrow)-ROW(PLE.firstrow))),0,IF(OFFSET(PLE!$G$14,$M14,HI$13)="",10^12,OFFSET(PLE!$G$14,$M14,HI$13))))</f>
        <v>0</v>
      </c>
      <c r="HJ14" s="212">
        <f ca="1">IF($D14&lt;&gt;"Serviço",0,IF(OR(AND(AUTOEVENTO="Manual",$M14=1),$M14&gt;(ROW(PLE.lastrow)-ROW(PLE.firstrow))),0,IF(OFFSET(PLE!$G$14,$M14,HJ$13)="",10^12,OFFSET(PLE!$G$14,$M14,HJ$13))))</f>
        <v>0</v>
      </c>
      <c r="HK14" s="212">
        <f ca="1">IF($D14&lt;&gt;"Serviço",0,IF(OR(AND(AUTOEVENTO="Manual",$M14=1),$M14&gt;(ROW(PLE.lastrow)-ROW(PLE.firstrow))),0,IF(OFFSET(PLE!$G$14,$M14,HK$13)="",10^12,OFFSET(PLE!$G$14,$M14,HK$13))))</f>
        <v>0</v>
      </c>
    </row>
    <row r="15" spans="1:219" ht="12.75" customHeight="1" x14ac:dyDescent="0.2">
      <c r="B15" s="9" t="str">
        <f ca="1">OFFSET(ORÇAMENTO!C$15,ROW(B15)-ROW(B$15),0)</f>
        <v>L</v>
      </c>
      <c r="C15" s="9" t="str">
        <f ca="1">OFFSET(ORÇAMENTO!L$15,ROW(C15)-ROW(C$15),0)</f>
        <v>F</v>
      </c>
      <c r="D15" s="156" t="str">
        <f>IF(TIPOORCAMENTO="LICITADO","CTEF","LOTE")</f>
        <v>LOTE</v>
      </c>
      <c r="E15" s="715" t="str">
        <f>Import.DescLote</f>
        <v>Adequação de Estradas Vicinais</v>
      </c>
      <c r="F15" s="715"/>
      <c r="G15" s="715"/>
      <c r="H15" s="715"/>
      <c r="I15" s="647"/>
      <c r="K15" s="213"/>
      <c r="L15" s="205" t="s">
        <v>257</v>
      </c>
      <c r="M15" s="214">
        <f ca="1">IF(AUTOEVENTO="MANUAL",0,1)</f>
        <v>1</v>
      </c>
      <c r="N15" s="215" t="s">
        <v>265</v>
      </c>
      <c r="O15" s="216" t="e">
        <f ca="1">OFFSET($BO$15,0,O$13)</f>
        <v>#VALUE!</v>
      </c>
      <c r="Q15" s="217">
        <f t="shared" ref="Q15:BN15" ca="1" si="6">OFFSET($BO$15,0,Q$13)</f>
        <v>195670.33</v>
      </c>
      <c r="R15" s="216">
        <f t="shared" ca="1" si="6"/>
        <v>227312.9072745812</v>
      </c>
      <c r="S15" s="216">
        <f t="shared" ca="1" si="6"/>
        <v>78165.282352401278</v>
      </c>
      <c r="T15" s="216">
        <f t="shared" ca="1" si="6"/>
        <v>0</v>
      </c>
      <c r="U15" s="216">
        <f t="shared" ca="1" si="6"/>
        <v>0</v>
      </c>
      <c r="V15" s="216">
        <f t="shared" ca="1" si="6"/>
        <v>0</v>
      </c>
      <c r="W15" s="216">
        <f t="shared" ca="1" si="6"/>
        <v>0</v>
      </c>
      <c r="X15" s="216">
        <f t="shared" ca="1" si="6"/>
        <v>0</v>
      </c>
      <c r="Y15" s="216">
        <f t="shared" ca="1" si="6"/>
        <v>0</v>
      </c>
      <c r="Z15" s="218">
        <f t="shared" ca="1" si="6"/>
        <v>0</v>
      </c>
      <c r="AA15" s="216">
        <f t="shared" ca="1" si="6"/>
        <v>0</v>
      </c>
      <c r="AB15" s="216">
        <f t="shared" ca="1" si="6"/>
        <v>0</v>
      </c>
      <c r="AC15" s="216">
        <f t="shared" ca="1" si="6"/>
        <v>0</v>
      </c>
      <c r="AD15" s="216">
        <f t="shared" ca="1" si="6"/>
        <v>0</v>
      </c>
      <c r="AE15" s="216">
        <f t="shared" ca="1" si="6"/>
        <v>0</v>
      </c>
      <c r="AF15" s="216">
        <f t="shared" ca="1" si="6"/>
        <v>0</v>
      </c>
      <c r="AG15" s="216">
        <f t="shared" ca="1" si="6"/>
        <v>0</v>
      </c>
      <c r="AH15" s="218">
        <f t="shared" ca="1" si="6"/>
        <v>0</v>
      </c>
      <c r="AI15" s="216">
        <f t="shared" ca="1" si="6"/>
        <v>0</v>
      </c>
      <c r="AJ15" s="216">
        <f t="shared" ca="1" si="6"/>
        <v>0</v>
      </c>
      <c r="AK15" s="216">
        <f t="shared" ca="1" si="6"/>
        <v>0</v>
      </c>
      <c r="AL15" s="216">
        <f t="shared" ca="1" si="6"/>
        <v>0</v>
      </c>
      <c r="AM15" s="216">
        <f t="shared" ca="1" si="6"/>
        <v>0</v>
      </c>
      <c r="AN15" s="216">
        <f t="shared" ca="1" si="6"/>
        <v>0</v>
      </c>
      <c r="AO15" s="216">
        <f t="shared" ca="1" si="6"/>
        <v>0</v>
      </c>
      <c r="AP15" s="218">
        <f t="shared" ca="1" si="6"/>
        <v>0</v>
      </c>
      <c r="AQ15" s="216">
        <f t="shared" ca="1" si="6"/>
        <v>0</v>
      </c>
      <c r="AR15" s="216">
        <f t="shared" ca="1" si="6"/>
        <v>0</v>
      </c>
      <c r="AS15" s="216">
        <f t="shared" ca="1" si="6"/>
        <v>0</v>
      </c>
      <c r="AT15" s="216">
        <f t="shared" ca="1" si="6"/>
        <v>0</v>
      </c>
      <c r="AU15" s="216">
        <f t="shared" ca="1" si="6"/>
        <v>0</v>
      </c>
      <c r="AV15" s="216">
        <f t="shared" ca="1" si="6"/>
        <v>0</v>
      </c>
      <c r="AW15" s="216">
        <f t="shared" ca="1" si="6"/>
        <v>0</v>
      </c>
      <c r="AX15" s="218">
        <f t="shared" ca="1" si="6"/>
        <v>0</v>
      </c>
      <c r="AY15" s="216">
        <f t="shared" ca="1" si="6"/>
        <v>0</v>
      </c>
      <c r="AZ15" s="216">
        <f t="shared" ca="1" si="6"/>
        <v>0</v>
      </c>
      <c r="BA15" s="216">
        <f t="shared" ca="1" si="6"/>
        <v>0</v>
      </c>
      <c r="BB15" s="216">
        <f t="shared" ca="1" si="6"/>
        <v>0</v>
      </c>
      <c r="BC15" s="216">
        <f t="shared" ca="1" si="6"/>
        <v>0</v>
      </c>
      <c r="BD15" s="216">
        <f t="shared" ca="1" si="6"/>
        <v>0</v>
      </c>
      <c r="BE15" s="216">
        <f t="shared" ca="1" si="6"/>
        <v>0</v>
      </c>
      <c r="BF15" s="218">
        <f t="shared" ca="1" si="6"/>
        <v>0</v>
      </c>
      <c r="BG15" s="216">
        <f t="shared" ca="1" si="6"/>
        <v>0</v>
      </c>
      <c r="BH15" s="216">
        <f t="shared" ca="1" si="6"/>
        <v>0</v>
      </c>
      <c r="BI15" s="216">
        <f t="shared" ca="1" si="6"/>
        <v>0</v>
      </c>
      <c r="BJ15" s="216">
        <f t="shared" ca="1" si="6"/>
        <v>0</v>
      </c>
      <c r="BK15" s="216">
        <f t="shared" ca="1" si="6"/>
        <v>0</v>
      </c>
      <c r="BL15" s="216">
        <f t="shared" ca="1" si="6"/>
        <v>0</v>
      </c>
      <c r="BM15" s="216">
        <f t="shared" ca="1" si="6"/>
        <v>0</v>
      </c>
      <c r="BN15" s="218">
        <f t="shared" ca="1" si="6"/>
        <v>0</v>
      </c>
      <c r="BP15" s="219">
        <f ca="1">ROUND(SUM(OFFSET(BP$15,1,0):BP$33),2)</f>
        <v>195670.33</v>
      </c>
      <c r="BQ15" s="219">
        <f ca="1">SUM(OFFSET(BQ$15,1,0):BQ$33)</f>
        <v>227312.9072745812</v>
      </c>
      <c r="BR15" s="219">
        <f ca="1">SUM(OFFSET(BR$15,1,0):BR$33)</f>
        <v>78165.282352401278</v>
      </c>
      <c r="BS15" s="219">
        <f ca="1">SUM(OFFSET(BS$15,1,0):BS$33)</f>
        <v>0</v>
      </c>
      <c r="BT15" s="219">
        <f ca="1">SUM(OFFSET(BT$15,1,0):BT$33)</f>
        <v>0</v>
      </c>
      <c r="BU15" s="219">
        <f ca="1">SUM(OFFSET(BU$15,1,0):BU$33)</f>
        <v>0</v>
      </c>
      <c r="BV15" s="219">
        <f ca="1">SUM(OFFSET(BV$15,1,0):BV$33)</f>
        <v>0</v>
      </c>
      <c r="BW15" s="219">
        <f ca="1">SUM(OFFSET(BW$15,1,0):BW$33)</f>
        <v>0</v>
      </c>
      <c r="BX15" s="219">
        <f ca="1">SUM(OFFSET(BX$15,1,0):BX$33)</f>
        <v>0</v>
      </c>
      <c r="BY15" s="219">
        <f ca="1">SUM(OFFSET(BY$15,1,0):BY$33)</f>
        <v>0</v>
      </c>
      <c r="BZ15" s="219">
        <f ca="1">SUM(OFFSET(BZ$15,1,0):BZ$33)</f>
        <v>0</v>
      </c>
      <c r="CA15" s="219">
        <f ca="1">SUM(OFFSET(CA$15,1,0):CA$33)</f>
        <v>0</v>
      </c>
      <c r="CB15" s="219">
        <f ca="1">SUM(OFFSET(CB$15,1,0):CB$33)</f>
        <v>0</v>
      </c>
      <c r="CC15" s="219">
        <f ca="1">SUM(OFFSET(CC$15,1,0):CC$33)</f>
        <v>0</v>
      </c>
      <c r="CD15" s="219">
        <f ca="1">SUM(OFFSET(CD$15,1,0):CD$33)</f>
        <v>0</v>
      </c>
      <c r="CE15" s="219">
        <f ca="1">SUM(OFFSET(CE$15,1,0):CE$33)</f>
        <v>0</v>
      </c>
      <c r="CF15" s="219">
        <f ca="1">SUM(OFFSET(CF$15,1,0):CF$33)</f>
        <v>0</v>
      </c>
      <c r="CG15" s="219">
        <f ca="1">SUM(OFFSET(CG$15,1,0):CG$33)</f>
        <v>0</v>
      </c>
      <c r="CH15" s="219">
        <f ca="1">SUM(OFFSET(CH$15,1,0):CH$33)</f>
        <v>0</v>
      </c>
      <c r="CI15" s="219">
        <f ca="1">SUM(OFFSET(CI$15,1,0):CI$33)</f>
        <v>0</v>
      </c>
      <c r="CJ15" s="219">
        <f ca="1">SUM(OFFSET(CJ$15,1,0):CJ$33)</f>
        <v>0</v>
      </c>
      <c r="CK15" s="219">
        <f ca="1">SUM(OFFSET(CK$15,1,0):CK$33)</f>
        <v>0</v>
      </c>
      <c r="CL15" s="219">
        <f ca="1">SUM(OFFSET(CL$15,1,0):CL$33)</f>
        <v>0</v>
      </c>
      <c r="CM15" s="219">
        <f ca="1">SUM(OFFSET(CM$15,1,0):CM$33)</f>
        <v>0</v>
      </c>
      <c r="CN15" s="219">
        <f ca="1">SUM(OFFSET(CN$15,1,0):CN$33)</f>
        <v>0</v>
      </c>
      <c r="CO15" s="219">
        <f ca="1">SUM(OFFSET(CO$15,1,0):CO$33)</f>
        <v>0</v>
      </c>
      <c r="CP15" s="219">
        <f ca="1">SUM(OFFSET(CP$15,1,0):CP$33)</f>
        <v>0</v>
      </c>
      <c r="CQ15" s="219">
        <f ca="1">SUM(OFFSET(CQ$15,1,0):CQ$33)</f>
        <v>0</v>
      </c>
      <c r="CR15" s="219">
        <f ca="1">SUM(OFFSET(CR$15,1,0):CR$33)</f>
        <v>0</v>
      </c>
      <c r="CS15" s="219">
        <f ca="1">SUM(OFFSET(CS$15,1,0):CS$33)</f>
        <v>0</v>
      </c>
      <c r="CT15" s="219">
        <f ca="1">SUM(OFFSET(CT$15,1,0):CT$33)</f>
        <v>0</v>
      </c>
      <c r="CU15" s="219">
        <f ca="1">SUM(OFFSET(CU$15,1,0):CU$33)</f>
        <v>0</v>
      </c>
      <c r="CV15" s="219">
        <f ca="1">SUM(OFFSET(CV$15,1,0):CV$33)</f>
        <v>0</v>
      </c>
      <c r="CW15" s="219">
        <f ca="1">SUM(OFFSET(CW$15,1,0):CW$33)</f>
        <v>0</v>
      </c>
      <c r="CX15" s="219">
        <f ca="1">SUM(OFFSET(CX$15,1,0):CX$33)</f>
        <v>0</v>
      </c>
      <c r="CY15" s="219">
        <f ca="1">SUM(OFFSET(CY$15,1,0):CY$33)</f>
        <v>0</v>
      </c>
      <c r="CZ15" s="219">
        <f ca="1">SUM(OFFSET(CZ$15,1,0):CZ$33)</f>
        <v>0</v>
      </c>
      <c r="DA15" s="219">
        <f ca="1">SUM(OFFSET(DA$15,1,0):DA$33)</f>
        <v>0</v>
      </c>
      <c r="DB15" s="219">
        <f ca="1">SUM(OFFSET(DB$15,1,0):DB$33)</f>
        <v>0</v>
      </c>
      <c r="DC15" s="219">
        <f ca="1">SUM(OFFSET(DC$15,1,0):DC$33)</f>
        <v>0</v>
      </c>
      <c r="DD15" s="219">
        <f ca="1">SUM(OFFSET(DD$15,1,0):DD$33)</f>
        <v>0</v>
      </c>
      <c r="DE15" s="219">
        <f ca="1">SUM(OFFSET(DE$15,1,0):DE$33)</f>
        <v>0</v>
      </c>
      <c r="DF15" s="219">
        <f ca="1">SUM(OFFSET(DF$15,1,0):DF$33)</f>
        <v>0</v>
      </c>
      <c r="DG15" s="219">
        <f ca="1">SUM(OFFSET(DG$15,1,0):DG$33)</f>
        <v>0</v>
      </c>
      <c r="DH15" s="219">
        <f ca="1">SUM(OFFSET(DH$15,1,0):DH$33)</f>
        <v>0</v>
      </c>
      <c r="DI15" s="219">
        <f ca="1">SUM(OFFSET(DI$15,1,0):DI$33)</f>
        <v>0</v>
      </c>
      <c r="DJ15" s="219">
        <f ca="1">SUM(OFFSET(DJ$15,1,0):DJ$33)</f>
        <v>0</v>
      </c>
      <c r="DK15" s="219">
        <f ca="1">SUM(OFFSET(DK$15,1,0):DK$33)</f>
        <v>0</v>
      </c>
      <c r="DL15" s="219">
        <f ca="1">SUM(OFFSET(DL$15,1,0):DL$33)</f>
        <v>0</v>
      </c>
      <c r="DM15" s="219">
        <f ca="1">SUM(OFFSET(DM$15,1,0):DM$33)</f>
        <v>0</v>
      </c>
      <c r="DO15" s="220">
        <f>10^12</f>
        <v>1000000000000</v>
      </c>
      <c r="DP15" s="220">
        <f t="shared" ref="DP15:FL15" si="7">10^12</f>
        <v>1000000000000</v>
      </c>
      <c r="DQ15" s="220">
        <f t="shared" si="7"/>
        <v>1000000000000</v>
      </c>
      <c r="DR15" s="220">
        <f t="shared" si="7"/>
        <v>1000000000000</v>
      </c>
      <c r="DS15" s="220">
        <f t="shared" si="7"/>
        <v>1000000000000</v>
      </c>
      <c r="DT15" s="220">
        <f t="shared" si="7"/>
        <v>1000000000000</v>
      </c>
      <c r="DU15" s="220">
        <f t="shared" si="7"/>
        <v>1000000000000</v>
      </c>
      <c r="DV15" s="220">
        <f t="shared" si="7"/>
        <v>1000000000000</v>
      </c>
      <c r="DW15" s="220">
        <f t="shared" si="7"/>
        <v>1000000000000</v>
      </c>
      <c r="DX15" s="220">
        <f t="shared" si="7"/>
        <v>1000000000000</v>
      </c>
      <c r="DY15" s="220">
        <f t="shared" si="7"/>
        <v>1000000000000</v>
      </c>
      <c r="DZ15" s="220">
        <f t="shared" si="7"/>
        <v>1000000000000</v>
      </c>
      <c r="EA15" s="220">
        <f t="shared" si="7"/>
        <v>1000000000000</v>
      </c>
      <c r="EB15" s="220">
        <f t="shared" si="7"/>
        <v>1000000000000</v>
      </c>
      <c r="EC15" s="220">
        <f t="shared" si="7"/>
        <v>1000000000000</v>
      </c>
      <c r="ED15" s="220">
        <f t="shared" si="7"/>
        <v>1000000000000</v>
      </c>
      <c r="EE15" s="220">
        <f t="shared" si="7"/>
        <v>1000000000000</v>
      </c>
      <c r="EF15" s="220">
        <f t="shared" si="7"/>
        <v>1000000000000</v>
      </c>
      <c r="EG15" s="220">
        <f t="shared" si="7"/>
        <v>1000000000000</v>
      </c>
      <c r="EH15" s="220">
        <f t="shared" si="7"/>
        <v>1000000000000</v>
      </c>
      <c r="EI15" s="220">
        <f t="shared" si="7"/>
        <v>1000000000000</v>
      </c>
      <c r="EJ15" s="220">
        <f t="shared" si="7"/>
        <v>1000000000000</v>
      </c>
      <c r="EK15" s="220">
        <f t="shared" si="7"/>
        <v>1000000000000</v>
      </c>
      <c r="EL15" s="220">
        <f t="shared" si="7"/>
        <v>1000000000000</v>
      </c>
      <c r="EM15" s="220">
        <f t="shared" si="7"/>
        <v>1000000000000</v>
      </c>
      <c r="EN15" s="220">
        <f t="shared" si="7"/>
        <v>1000000000000</v>
      </c>
      <c r="EO15" s="220">
        <f t="shared" si="7"/>
        <v>1000000000000</v>
      </c>
      <c r="EP15" s="220">
        <f t="shared" si="7"/>
        <v>1000000000000</v>
      </c>
      <c r="EQ15" s="220">
        <f t="shared" si="7"/>
        <v>1000000000000</v>
      </c>
      <c r="ER15" s="220">
        <f t="shared" si="7"/>
        <v>1000000000000</v>
      </c>
      <c r="ES15" s="220">
        <f t="shared" si="7"/>
        <v>1000000000000</v>
      </c>
      <c r="ET15" s="220">
        <f t="shared" si="7"/>
        <v>1000000000000</v>
      </c>
      <c r="EU15" s="220">
        <f t="shared" si="7"/>
        <v>1000000000000</v>
      </c>
      <c r="EV15" s="220">
        <f t="shared" si="7"/>
        <v>1000000000000</v>
      </c>
      <c r="EW15" s="220">
        <f t="shared" si="7"/>
        <v>1000000000000</v>
      </c>
      <c r="EX15" s="220">
        <f t="shared" si="7"/>
        <v>1000000000000</v>
      </c>
      <c r="EY15" s="220">
        <f t="shared" si="7"/>
        <v>1000000000000</v>
      </c>
      <c r="EZ15" s="220">
        <f t="shared" si="7"/>
        <v>1000000000000</v>
      </c>
      <c r="FA15" s="220">
        <f t="shared" si="7"/>
        <v>1000000000000</v>
      </c>
      <c r="FB15" s="220">
        <f t="shared" si="7"/>
        <v>1000000000000</v>
      </c>
      <c r="FC15" s="220">
        <f t="shared" si="7"/>
        <v>1000000000000</v>
      </c>
      <c r="FD15" s="220">
        <f t="shared" si="7"/>
        <v>1000000000000</v>
      </c>
      <c r="FE15" s="220">
        <f t="shared" si="7"/>
        <v>1000000000000</v>
      </c>
      <c r="FF15" s="220">
        <f t="shared" si="7"/>
        <v>1000000000000</v>
      </c>
      <c r="FG15" s="220">
        <f t="shared" si="7"/>
        <v>1000000000000</v>
      </c>
      <c r="FH15" s="220">
        <f t="shared" si="7"/>
        <v>1000000000000</v>
      </c>
      <c r="FI15" s="220">
        <f t="shared" si="7"/>
        <v>1000000000000</v>
      </c>
      <c r="FJ15" s="220">
        <f t="shared" si="7"/>
        <v>1000000000000</v>
      </c>
      <c r="FK15" s="220">
        <f t="shared" si="7"/>
        <v>1000000000000</v>
      </c>
      <c r="FL15" s="220">
        <f t="shared" si="7"/>
        <v>1000000000000</v>
      </c>
      <c r="FN15" s="220">
        <f t="shared" ref="FN15:HK15" si="8">10^12</f>
        <v>1000000000000</v>
      </c>
      <c r="FO15" s="220">
        <f t="shared" si="8"/>
        <v>1000000000000</v>
      </c>
      <c r="FP15" s="220">
        <f t="shared" si="8"/>
        <v>1000000000000</v>
      </c>
      <c r="FQ15" s="220">
        <f t="shared" si="8"/>
        <v>1000000000000</v>
      </c>
      <c r="FR15" s="220">
        <f t="shared" si="8"/>
        <v>1000000000000</v>
      </c>
      <c r="FS15" s="220">
        <f t="shared" si="8"/>
        <v>1000000000000</v>
      </c>
      <c r="FT15" s="220">
        <f t="shared" si="8"/>
        <v>1000000000000</v>
      </c>
      <c r="FU15" s="220">
        <f t="shared" si="8"/>
        <v>1000000000000</v>
      </c>
      <c r="FV15" s="220">
        <f t="shared" si="8"/>
        <v>1000000000000</v>
      </c>
      <c r="FW15" s="220">
        <f t="shared" si="8"/>
        <v>1000000000000</v>
      </c>
      <c r="FX15" s="220">
        <f t="shared" si="8"/>
        <v>1000000000000</v>
      </c>
      <c r="FY15" s="220">
        <f t="shared" si="8"/>
        <v>1000000000000</v>
      </c>
      <c r="FZ15" s="220">
        <f t="shared" si="8"/>
        <v>1000000000000</v>
      </c>
      <c r="GA15" s="220">
        <f t="shared" si="8"/>
        <v>1000000000000</v>
      </c>
      <c r="GB15" s="220">
        <f t="shared" si="8"/>
        <v>1000000000000</v>
      </c>
      <c r="GC15" s="220">
        <f t="shared" si="8"/>
        <v>1000000000000</v>
      </c>
      <c r="GD15" s="220">
        <f t="shared" si="8"/>
        <v>1000000000000</v>
      </c>
      <c r="GE15" s="220">
        <f t="shared" si="8"/>
        <v>1000000000000</v>
      </c>
      <c r="GF15" s="220">
        <f t="shared" si="8"/>
        <v>1000000000000</v>
      </c>
      <c r="GG15" s="220">
        <f t="shared" si="8"/>
        <v>1000000000000</v>
      </c>
      <c r="GH15" s="220">
        <f t="shared" si="8"/>
        <v>1000000000000</v>
      </c>
      <c r="GI15" s="220">
        <f t="shared" si="8"/>
        <v>1000000000000</v>
      </c>
      <c r="GJ15" s="220">
        <f t="shared" si="8"/>
        <v>1000000000000</v>
      </c>
      <c r="GK15" s="220">
        <f t="shared" si="8"/>
        <v>1000000000000</v>
      </c>
      <c r="GL15" s="220">
        <f t="shared" si="8"/>
        <v>1000000000000</v>
      </c>
      <c r="GM15" s="220">
        <f t="shared" si="8"/>
        <v>1000000000000</v>
      </c>
      <c r="GN15" s="220">
        <f t="shared" si="8"/>
        <v>1000000000000</v>
      </c>
      <c r="GO15" s="220">
        <f t="shared" si="8"/>
        <v>1000000000000</v>
      </c>
      <c r="GP15" s="220">
        <f t="shared" si="8"/>
        <v>1000000000000</v>
      </c>
      <c r="GQ15" s="220">
        <f t="shared" si="8"/>
        <v>1000000000000</v>
      </c>
      <c r="GR15" s="220">
        <f t="shared" si="8"/>
        <v>1000000000000</v>
      </c>
      <c r="GS15" s="220">
        <f t="shared" si="8"/>
        <v>1000000000000</v>
      </c>
      <c r="GT15" s="220">
        <f t="shared" si="8"/>
        <v>1000000000000</v>
      </c>
      <c r="GU15" s="220">
        <f t="shared" si="8"/>
        <v>1000000000000</v>
      </c>
      <c r="GV15" s="220">
        <f t="shared" si="8"/>
        <v>1000000000000</v>
      </c>
      <c r="GW15" s="220">
        <f t="shared" si="8"/>
        <v>1000000000000</v>
      </c>
      <c r="GX15" s="220">
        <f t="shared" si="8"/>
        <v>1000000000000</v>
      </c>
      <c r="GY15" s="220">
        <f t="shared" si="8"/>
        <v>1000000000000</v>
      </c>
      <c r="GZ15" s="220">
        <f t="shared" si="8"/>
        <v>1000000000000</v>
      </c>
      <c r="HA15" s="220">
        <f t="shared" si="8"/>
        <v>1000000000000</v>
      </c>
      <c r="HB15" s="220">
        <f t="shared" si="8"/>
        <v>1000000000000</v>
      </c>
      <c r="HC15" s="220">
        <f t="shared" si="8"/>
        <v>1000000000000</v>
      </c>
      <c r="HD15" s="220">
        <f t="shared" si="8"/>
        <v>1000000000000</v>
      </c>
      <c r="HE15" s="220">
        <f t="shared" si="8"/>
        <v>1000000000000</v>
      </c>
      <c r="HF15" s="220">
        <f t="shared" si="8"/>
        <v>1000000000000</v>
      </c>
      <c r="HG15" s="220">
        <f t="shared" si="8"/>
        <v>1000000000000</v>
      </c>
      <c r="HH15" s="220">
        <f t="shared" si="8"/>
        <v>1000000000000</v>
      </c>
      <c r="HI15" s="220">
        <f t="shared" si="8"/>
        <v>1000000000000</v>
      </c>
      <c r="HJ15" s="220">
        <f t="shared" si="8"/>
        <v>1000000000000</v>
      </c>
      <c r="HK15" s="220">
        <f t="shared" si="8"/>
        <v>1000000000000</v>
      </c>
    </row>
    <row r="16" spans="1:219" ht="12.75" x14ac:dyDescent="0.2">
      <c r="A16" s="9" t="str">
        <f t="shared" ref="A16:A26" ca="1" si="9">IF(AUTOEVENTO="Manual",IF(K16&lt;&gt;"",MIN(VALUE(LEFT(K16,FIND(".",K16)-1)),COUNTA(EVENTOS.Lista)),0),IF(OR($B16&gt;AUTOEVENTO,$B16="S",$B16=0),SUBSTITUTE(OFFSET($A16,-1,0),IF($D16="Serviço",".",""),""),ROW(A16)-ROW($A$15)&amp;"."))</f>
        <v>1.</v>
      </c>
      <c r="B16" s="9">
        <f ca="1">OFFSET(ORÇAMENTO!C$15,ROW(B16)-ROW(B$15),0)</f>
        <v>1</v>
      </c>
      <c r="C16" s="9" t="str">
        <f ca="1">OFFSET(ORÇAMENTO!L$15,ROW(C16)-ROW(C$15),0)</f>
        <v>F</v>
      </c>
      <c r="D16" s="141" t="str">
        <f ca="1">OFFSET(ORÇAMENTO!N$15,ROW(D16)-ROW(D$15),0)</f>
        <v>Meta</v>
      </c>
      <c r="E16" s="201" t="str">
        <f ca="1">OFFSET(ORÇAMENTO!O$15,ROW(E16)-ROW(E$15),0)</f>
        <v>1.</v>
      </c>
      <c r="F16" s="202" t="str">
        <f ca="1">OFFSET(ORÇAMENTO!R$15,ROW(F16)-ROW(F$15),0)</f>
        <v xml:space="preserve">Adequação de Estradas Vicinais  </v>
      </c>
      <c r="G16" s="203" t="str">
        <f ca="1">IF($D16&lt;&gt;"Serviço","",OFFSET(ORÇAMENTO!S$15,ROW(G16)-ROW(G$15),0))</f>
        <v/>
      </c>
      <c r="H16" s="147">
        <f ca="1">IF($D16&lt;&gt;"Serviço",0,IF(ACOMPANHAMENTO="BM",ROUND(OFFSET(ORÇAMENTO!AJ$15,ROW(H16)-ROW(H$15),0),15-13*ORÇAMENTO!$AF$7),SUMPRODUCT(($Q$12:$BO$12&lt;&gt;"")*ROUND($Q16:$BO16,15-13*ORÇAMENTO!$AF$7))))</f>
        <v>0</v>
      </c>
      <c r="I16" s="646"/>
      <c r="K16" s="204"/>
      <c r="L16" s="205" t="s">
        <v>257</v>
      </c>
      <c r="M16" s="206" t="str">
        <f ca="1">IF($D16&lt;&gt;"Serviço","",IF(AUTOEVENTO="manual",$A16,IF(ISERROR(MATCH($A16,$A$15:OFFSET($A16,-1,0),0)),MAX($M$15:OFFSET(M16,-1,0))+1,INDEX($M$15:OFFSET(M16,-1,0),MATCH($A16,$A$15:OFFSET($A16,-1,0),0)))))</f>
        <v/>
      </c>
      <c r="N16" s="207" t="str">
        <f ca="1">IF($D16&lt;&gt;"Serviço","",IF(AUTOEVENTO="Manual",IF($A16=0,"&lt;-- defina o número do agrupador",OFFSET(EVENTOS!$D$14,$A16,0)),OFFSET($F$15,$A16,0)))</f>
        <v/>
      </c>
      <c r="O16" s="208"/>
      <c r="Q16" s="208"/>
      <c r="R16" s="209"/>
      <c r="S16" s="209"/>
      <c r="T16" s="209"/>
      <c r="U16" s="209"/>
      <c r="V16" s="209"/>
      <c r="W16" s="209"/>
      <c r="X16" s="209"/>
      <c r="Y16" s="209"/>
      <c r="Z16" s="210"/>
      <c r="AA16" s="209"/>
      <c r="AB16" s="209"/>
      <c r="AC16" s="209"/>
      <c r="AD16" s="209"/>
      <c r="AE16" s="209"/>
      <c r="AF16" s="209"/>
      <c r="AG16" s="209"/>
      <c r="AH16" s="210"/>
      <c r="AI16" s="209"/>
      <c r="AJ16" s="209"/>
      <c r="AK16" s="209"/>
      <c r="AL16" s="209"/>
      <c r="AM16" s="209"/>
      <c r="AN16" s="209"/>
      <c r="AO16" s="209"/>
      <c r="AP16" s="210"/>
      <c r="AQ16" s="209"/>
      <c r="AR16" s="209"/>
      <c r="AS16" s="209"/>
      <c r="AT16" s="209"/>
      <c r="AU16" s="209"/>
      <c r="AV16" s="209"/>
      <c r="AW16" s="209"/>
      <c r="AX16" s="210"/>
      <c r="AY16" s="209"/>
      <c r="AZ16" s="209"/>
      <c r="BA16" s="209"/>
      <c r="BB16" s="209"/>
      <c r="BC16" s="209"/>
      <c r="BD16" s="209"/>
      <c r="BE16" s="209"/>
      <c r="BF16" s="210"/>
      <c r="BG16" s="209"/>
      <c r="BH16" s="209"/>
      <c r="BI16" s="209"/>
      <c r="BJ16" s="209"/>
      <c r="BK16" s="209"/>
      <c r="BL16" s="209"/>
      <c r="BM16" s="209"/>
      <c r="BN16" s="210"/>
      <c r="BP16" s="627">
        <f ca="1">IF(AND($D16="Serviço",BP$12&lt;&gt;0,$H16&gt;0,OR(AUTOEVENTO&lt;&gt;"manual",$M16&lt;&gt;1)),ROUND(OFFSET($P16,0,BP$13),15-13*ORÇAMENTO!$AF$7)/$H16*OFFSET(ORÇAMENTO!$X$15,ROW(BP16)-ROW(BP$15),0),0)</f>
        <v>0</v>
      </c>
      <c r="BQ16" s="628">
        <f ca="1">IF(AND($D16="Serviço",BQ$12&lt;&gt;0,$H16&gt;0,OR(AUTOEVENTO&lt;&gt;"manual",$M16&lt;&gt;1)),ROUND(OFFSET($P16,0,BQ$13),15-13*ORÇAMENTO!$AF$7)/$H16*OFFSET(ORÇAMENTO!$X$15,ROW(BQ16)-ROW(BQ$15),0),0)</f>
        <v>0</v>
      </c>
      <c r="BR16" s="628">
        <f ca="1">IF(AND($D16="Serviço",BR$12&lt;&gt;0,$H16&gt;0,OR(AUTOEVENTO&lt;&gt;"manual",$M16&lt;&gt;1)),ROUND(OFFSET($P16,0,BR$13),15-13*ORÇAMENTO!$AF$7)/$H16*OFFSET(ORÇAMENTO!$X$15,ROW(BR16)-ROW(BR$15),0),0)</f>
        <v>0</v>
      </c>
      <c r="BS16" s="628">
        <f ca="1">IF(AND($D16="Serviço",BS$12&lt;&gt;0,$H16&gt;0,OR(AUTOEVENTO&lt;&gt;"manual",$M16&lt;&gt;1)),ROUND(OFFSET($P16,0,BS$13),15-13*ORÇAMENTO!$AF$7)/$H16*OFFSET(ORÇAMENTO!$X$15,ROW(BS16)-ROW(BS$15),0),0)</f>
        <v>0</v>
      </c>
      <c r="BT16" s="628">
        <f ca="1">IF(AND($D16="Serviço",BT$12&lt;&gt;0,$H16&gt;0,OR(AUTOEVENTO&lt;&gt;"manual",$M16&lt;&gt;1)),ROUND(OFFSET($P16,0,BT$13),15-13*ORÇAMENTO!$AF$7)/$H16*OFFSET(ORÇAMENTO!$X$15,ROW(BT16)-ROW(BT$15),0),0)</f>
        <v>0</v>
      </c>
      <c r="BU16" s="628">
        <f ca="1">IF(AND($D16="Serviço",BU$12&lt;&gt;0,$H16&gt;0,OR(AUTOEVENTO&lt;&gt;"manual",$M16&lt;&gt;1)),ROUND(OFFSET($P16,0,BU$13),15-13*ORÇAMENTO!$AF$7)/$H16*OFFSET(ORÇAMENTO!$X$15,ROW(BU16)-ROW(BU$15),0),0)</f>
        <v>0</v>
      </c>
      <c r="BV16" s="628">
        <f ca="1">IF(AND($D16="Serviço",BV$12&lt;&gt;0,$H16&gt;0,OR(AUTOEVENTO&lt;&gt;"manual",$M16&lt;&gt;1)),ROUND(OFFSET($P16,0,BV$13),15-13*ORÇAMENTO!$AF$7)/$H16*OFFSET(ORÇAMENTO!$X$15,ROW(BV16)-ROW(BV$15),0),0)</f>
        <v>0</v>
      </c>
      <c r="BW16" s="628">
        <f ca="1">IF(AND($D16="Serviço",BW$12&lt;&gt;0,$H16&gt;0,OR(AUTOEVENTO&lt;&gt;"manual",$M16&lt;&gt;1)),ROUND(OFFSET($P16,0,BW$13),15-13*ORÇAMENTO!$AF$7)/$H16*OFFSET(ORÇAMENTO!$X$15,ROW(BW16)-ROW(BW$15),0),0)</f>
        <v>0</v>
      </c>
      <c r="BX16" s="628">
        <f ca="1">IF(AND($D16="Serviço",BX$12&lt;&gt;0,$H16&gt;0,OR(AUTOEVENTO&lt;&gt;"manual",$M16&lt;&gt;1)),ROUND(OFFSET($P16,0,BX$13),15-13*ORÇAMENTO!$AF$7)/$H16*OFFSET(ORÇAMENTO!$X$15,ROW(BX16)-ROW(BX$15),0),0)</f>
        <v>0</v>
      </c>
      <c r="BY16" s="629">
        <f ca="1">IF(AND($D16="Serviço",BY$12&lt;&gt;0,$H16&gt;0,OR(AUTOEVENTO&lt;&gt;"manual",$M16&lt;&gt;1)),ROUND(OFFSET($P16,0,BY$13),15-13*ORÇAMENTO!$AF$7)/$H16*OFFSET(ORÇAMENTO!$X$15,ROW(BY16)-ROW(BY$15),0),0)</f>
        <v>0</v>
      </c>
      <c r="BZ16" s="628">
        <f ca="1">IF(AND($D16="Serviço",BZ$12&lt;&gt;0,$H16&gt;0,OR(AUTOEVENTO&lt;&gt;"manual",$M16&lt;&gt;1)),ROUND(OFFSET($P16,0,BZ$13),15-13*ORÇAMENTO!$AF$7)/$H16*OFFSET(ORÇAMENTO!$X$15,ROW(BZ16)-ROW(BZ$15),0),0)</f>
        <v>0</v>
      </c>
      <c r="CA16" s="628">
        <f ca="1">IF(AND($D16="Serviço",CA$12&lt;&gt;0,$H16&gt;0,OR(AUTOEVENTO&lt;&gt;"manual",$M16&lt;&gt;1)),ROUND(OFFSET($P16,0,CA$13),15-13*ORÇAMENTO!$AF$7)/$H16*OFFSET(ORÇAMENTO!$X$15,ROW(CA16)-ROW(CA$15),0),0)</f>
        <v>0</v>
      </c>
      <c r="CB16" s="628">
        <f ca="1">IF(AND($D16="Serviço",CB$12&lt;&gt;0,$H16&gt;0,OR(AUTOEVENTO&lt;&gt;"manual",$M16&lt;&gt;1)),ROUND(OFFSET($P16,0,CB$13),15-13*ORÇAMENTO!$AF$7)/$H16*OFFSET(ORÇAMENTO!$X$15,ROW(CB16)-ROW(CB$15),0),0)</f>
        <v>0</v>
      </c>
      <c r="CC16" s="628">
        <f ca="1">IF(AND($D16="Serviço",CC$12&lt;&gt;0,$H16&gt;0,OR(AUTOEVENTO&lt;&gt;"manual",$M16&lt;&gt;1)),ROUND(OFFSET($P16,0,CC$13),15-13*ORÇAMENTO!$AF$7)/$H16*OFFSET(ORÇAMENTO!$X$15,ROW(CC16)-ROW(CC$15),0),0)</f>
        <v>0</v>
      </c>
      <c r="CD16" s="628">
        <f ca="1">IF(AND($D16="Serviço",CD$12&lt;&gt;0,$H16&gt;0,OR(AUTOEVENTO&lt;&gt;"manual",$M16&lt;&gt;1)),ROUND(OFFSET($P16,0,CD$13),15-13*ORÇAMENTO!$AF$7)/$H16*OFFSET(ORÇAMENTO!$X$15,ROW(CD16)-ROW(CD$15),0),0)</f>
        <v>0</v>
      </c>
      <c r="CE16" s="628">
        <f ca="1">IF(AND($D16="Serviço",CE$12&lt;&gt;0,$H16&gt;0,OR(AUTOEVENTO&lt;&gt;"manual",$M16&lt;&gt;1)),ROUND(OFFSET($P16,0,CE$13),15-13*ORÇAMENTO!$AF$7)/$H16*OFFSET(ORÇAMENTO!$X$15,ROW(CE16)-ROW(CE$15),0),0)</f>
        <v>0</v>
      </c>
      <c r="CF16" s="628">
        <f ca="1">IF(AND($D16="Serviço",CF$12&lt;&gt;0,$H16&gt;0,OR(AUTOEVENTO&lt;&gt;"manual",$M16&lt;&gt;1)),ROUND(OFFSET($P16,0,CF$13),15-13*ORÇAMENTO!$AF$7)/$H16*OFFSET(ORÇAMENTO!$X$15,ROW(CF16)-ROW(CF$15),0),0)</f>
        <v>0</v>
      </c>
      <c r="CG16" s="629">
        <f ca="1">IF(AND($D16="Serviço",CG$12&lt;&gt;0,$H16&gt;0,OR(AUTOEVENTO&lt;&gt;"manual",$M16&lt;&gt;1)),ROUND(OFFSET($P16,0,CG$13),15-13*ORÇAMENTO!$AF$7)/$H16*OFFSET(ORÇAMENTO!$X$15,ROW(CG16)-ROW(CG$15),0),0)</f>
        <v>0</v>
      </c>
      <c r="CH16" s="628">
        <f ca="1">IF(AND($D16="Serviço",CH$12&lt;&gt;0,$H16&gt;0,OR(AUTOEVENTO&lt;&gt;"manual",$M16&lt;&gt;1)),ROUND(OFFSET($P16,0,CH$13),15-13*ORÇAMENTO!$AF$7)/$H16*OFFSET(ORÇAMENTO!$X$15,ROW(CH16)-ROW(CH$15),0),0)</f>
        <v>0</v>
      </c>
      <c r="CI16" s="628">
        <f ca="1">IF(AND($D16="Serviço",CI$12&lt;&gt;0,$H16&gt;0,OR(AUTOEVENTO&lt;&gt;"manual",$M16&lt;&gt;1)),ROUND(OFFSET($P16,0,CI$13),15-13*ORÇAMENTO!$AF$7)/$H16*OFFSET(ORÇAMENTO!$X$15,ROW(CI16)-ROW(CI$15),0),0)</f>
        <v>0</v>
      </c>
      <c r="CJ16" s="628">
        <f ca="1">IF(AND($D16="Serviço",CJ$12&lt;&gt;0,$H16&gt;0,OR(AUTOEVENTO&lt;&gt;"manual",$M16&lt;&gt;1)),ROUND(OFFSET($P16,0,CJ$13),15-13*ORÇAMENTO!$AF$7)/$H16*OFFSET(ORÇAMENTO!$X$15,ROW(CJ16)-ROW(CJ$15),0),0)</f>
        <v>0</v>
      </c>
      <c r="CK16" s="628">
        <f ca="1">IF(AND($D16="Serviço",CK$12&lt;&gt;0,$H16&gt;0,OR(AUTOEVENTO&lt;&gt;"manual",$M16&lt;&gt;1)),ROUND(OFFSET($P16,0,CK$13),15-13*ORÇAMENTO!$AF$7)/$H16*OFFSET(ORÇAMENTO!$X$15,ROW(CK16)-ROW(CK$15),0),0)</f>
        <v>0</v>
      </c>
      <c r="CL16" s="628">
        <f ca="1">IF(AND($D16="Serviço",CL$12&lt;&gt;0,$H16&gt;0,OR(AUTOEVENTO&lt;&gt;"manual",$M16&lt;&gt;1)),ROUND(OFFSET($P16,0,CL$13),15-13*ORÇAMENTO!$AF$7)/$H16*OFFSET(ORÇAMENTO!$X$15,ROW(CL16)-ROW(CL$15),0),0)</f>
        <v>0</v>
      </c>
      <c r="CM16" s="628">
        <f ca="1">IF(AND($D16="Serviço",CM$12&lt;&gt;0,$H16&gt;0,OR(AUTOEVENTO&lt;&gt;"manual",$M16&lt;&gt;1)),ROUND(OFFSET($P16,0,CM$13),15-13*ORÇAMENTO!$AF$7)/$H16*OFFSET(ORÇAMENTO!$X$15,ROW(CM16)-ROW(CM$15),0),0)</f>
        <v>0</v>
      </c>
      <c r="CN16" s="628">
        <f ca="1">IF(AND($D16="Serviço",CN$12&lt;&gt;0,$H16&gt;0,OR(AUTOEVENTO&lt;&gt;"manual",$M16&lt;&gt;1)),ROUND(OFFSET($P16,0,CN$13),15-13*ORÇAMENTO!$AF$7)/$H16*OFFSET(ORÇAMENTO!$X$15,ROW(CN16)-ROW(CN$15),0),0)</f>
        <v>0</v>
      </c>
      <c r="CO16" s="629">
        <f ca="1">IF(AND($D16="Serviço",CO$12&lt;&gt;0,$H16&gt;0,OR(AUTOEVENTO&lt;&gt;"manual",$M16&lt;&gt;1)),ROUND(OFFSET($P16,0,CO$13),15-13*ORÇAMENTO!$AF$7)/$H16*OFFSET(ORÇAMENTO!$X$15,ROW(CO16)-ROW(CO$15),0),0)</f>
        <v>0</v>
      </c>
      <c r="CP16" s="628">
        <f ca="1">IF(AND($D16="Serviço",CP$12&lt;&gt;0,$H16&gt;0,OR(AUTOEVENTO&lt;&gt;"manual",$M16&lt;&gt;1)),ROUND(OFFSET($P16,0,CP$13),15-13*ORÇAMENTO!$AF$7)/$H16*OFFSET(ORÇAMENTO!$X$15,ROW(CP16)-ROW(CP$15),0),0)</f>
        <v>0</v>
      </c>
      <c r="CQ16" s="628">
        <f ca="1">IF(AND($D16="Serviço",CQ$12&lt;&gt;0,$H16&gt;0,OR(AUTOEVENTO&lt;&gt;"manual",$M16&lt;&gt;1)),ROUND(OFFSET($P16,0,CQ$13),15-13*ORÇAMENTO!$AF$7)/$H16*OFFSET(ORÇAMENTO!$X$15,ROW(CQ16)-ROW(CQ$15),0),0)</f>
        <v>0</v>
      </c>
      <c r="CR16" s="628">
        <f ca="1">IF(AND($D16="Serviço",CR$12&lt;&gt;0,$H16&gt;0,OR(AUTOEVENTO&lt;&gt;"manual",$M16&lt;&gt;1)),ROUND(OFFSET($P16,0,CR$13),15-13*ORÇAMENTO!$AF$7)/$H16*OFFSET(ORÇAMENTO!$X$15,ROW(CR16)-ROW(CR$15),0),0)</f>
        <v>0</v>
      </c>
      <c r="CS16" s="628">
        <f ca="1">IF(AND($D16="Serviço",CS$12&lt;&gt;0,$H16&gt;0,OR(AUTOEVENTO&lt;&gt;"manual",$M16&lt;&gt;1)),ROUND(OFFSET($P16,0,CS$13),15-13*ORÇAMENTO!$AF$7)/$H16*OFFSET(ORÇAMENTO!$X$15,ROW(CS16)-ROW(CS$15),0),0)</f>
        <v>0</v>
      </c>
      <c r="CT16" s="628">
        <f ca="1">IF(AND($D16="Serviço",CT$12&lt;&gt;0,$H16&gt;0,OR(AUTOEVENTO&lt;&gt;"manual",$M16&lt;&gt;1)),ROUND(OFFSET($P16,0,CT$13),15-13*ORÇAMENTO!$AF$7)/$H16*OFFSET(ORÇAMENTO!$X$15,ROW(CT16)-ROW(CT$15),0),0)</f>
        <v>0</v>
      </c>
      <c r="CU16" s="628">
        <f ca="1">IF(AND($D16="Serviço",CU$12&lt;&gt;0,$H16&gt;0,OR(AUTOEVENTO&lt;&gt;"manual",$M16&lt;&gt;1)),ROUND(OFFSET($P16,0,CU$13),15-13*ORÇAMENTO!$AF$7)/$H16*OFFSET(ORÇAMENTO!$X$15,ROW(CU16)-ROW(CU$15),0),0)</f>
        <v>0</v>
      </c>
      <c r="CV16" s="628">
        <f ca="1">IF(AND($D16="Serviço",CV$12&lt;&gt;0,$H16&gt;0,OR(AUTOEVENTO&lt;&gt;"manual",$M16&lt;&gt;1)),ROUND(OFFSET($P16,0,CV$13),15-13*ORÇAMENTO!$AF$7)/$H16*OFFSET(ORÇAMENTO!$X$15,ROW(CV16)-ROW(CV$15),0),0)</f>
        <v>0</v>
      </c>
      <c r="CW16" s="629">
        <f ca="1">IF(AND($D16="Serviço",CW$12&lt;&gt;0,$H16&gt;0,OR(AUTOEVENTO&lt;&gt;"manual",$M16&lt;&gt;1)),ROUND(OFFSET($P16,0,CW$13),15-13*ORÇAMENTO!$AF$7)/$H16*OFFSET(ORÇAMENTO!$X$15,ROW(CW16)-ROW(CW$15),0),0)</f>
        <v>0</v>
      </c>
      <c r="CX16" s="628">
        <f ca="1">IF(AND($D16="Serviço",CX$12&lt;&gt;0,$H16&gt;0,OR(AUTOEVENTO&lt;&gt;"manual",$M16&lt;&gt;1)),ROUND(OFFSET($P16,0,CX$13),15-13*ORÇAMENTO!$AF$7)/$H16*OFFSET(ORÇAMENTO!$X$15,ROW(CX16)-ROW(CX$15),0),0)</f>
        <v>0</v>
      </c>
      <c r="CY16" s="628">
        <f ca="1">IF(AND($D16="Serviço",CY$12&lt;&gt;0,$H16&gt;0,OR(AUTOEVENTO&lt;&gt;"manual",$M16&lt;&gt;1)),ROUND(OFFSET($P16,0,CY$13),15-13*ORÇAMENTO!$AF$7)/$H16*OFFSET(ORÇAMENTO!$X$15,ROW(CY16)-ROW(CY$15),0),0)</f>
        <v>0</v>
      </c>
      <c r="CZ16" s="628">
        <f ca="1">IF(AND($D16="Serviço",CZ$12&lt;&gt;0,$H16&gt;0,OR(AUTOEVENTO&lt;&gt;"manual",$M16&lt;&gt;1)),ROUND(OFFSET($P16,0,CZ$13),15-13*ORÇAMENTO!$AF$7)/$H16*OFFSET(ORÇAMENTO!$X$15,ROW(CZ16)-ROW(CZ$15),0),0)</f>
        <v>0</v>
      </c>
      <c r="DA16" s="628">
        <f ca="1">IF(AND($D16="Serviço",DA$12&lt;&gt;0,$H16&gt;0,OR(AUTOEVENTO&lt;&gt;"manual",$M16&lt;&gt;1)),ROUND(OFFSET($P16,0,DA$13),15-13*ORÇAMENTO!$AF$7)/$H16*OFFSET(ORÇAMENTO!$X$15,ROW(DA16)-ROW(DA$15),0),0)</f>
        <v>0</v>
      </c>
      <c r="DB16" s="628">
        <f ca="1">IF(AND($D16="Serviço",DB$12&lt;&gt;0,$H16&gt;0,OR(AUTOEVENTO&lt;&gt;"manual",$M16&lt;&gt;1)),ROUND(OFFSET($P16,0,DB$13),15-13*ORÇAMENTO!$AF$7)/$H16*OFFSET(ORÇAMENTO!$X$15,ROW(DB16)-ROW(DB$15),0),0)</f>
        <v>0</v>
      </c>
      <c r="DC16" s="628">
        <f ca="1">IF(AND($D16="Serviço",DC$12&lt;&gt;0,$H16&gt;0,OR(AUTOEVENTO&lt;&gt;"manual",$M16&lt;&gt;1)),ROUND(OFFSET($P16,0,DC$13),15-13*ORÇAMENTO!$AF$7)/$H16*OFFSET(ORÇAMENTO!$X$15,ROW(DC16)-ROW(DC$15),0),0)</f>
        <v>0</v>
      </c>
      <c r="DD16" s="628">
        <f ca="1">IF(AND($D16="Serviço",DD$12&lt;&gt;0,$H16&gt;0,OR(AUTOEVENTO&lt;&gt;"manual",$M16&lt;&gt;1)),ROUND(OFFSET($P16,0,DD$13),15-13*ORÇAMENTO!$AF$7)/$H16*OFFSET(ORÇAMENTO!$X$15,ROW(DD16)-ROW(DD$15),0),0)</f>
        <v>0</v>
      </c>
      <c r="DE16" s="629">
        <f ca="1">IF(AND($D16="Serviço",DE$12&lt;&gt;0,$H16&gt;0,OR(AUTOEVENTO&lt;&gt;"manual",$M16&lt;&gt;1)),ROUND(OFFSET($P16,0,DE$13),15-13*ORÇAMENTO!$AF$7)/$H16*OFFSET(ORÇAMENTO!$X$15,ROW(DE16)-ROW(DE$15),0),0)</f>
        <v>0</v>
      </c>
      <c r="DF16" s="628">
        <f ca="1">IF(AND($D16="Serviço",DF$12&lt;&gt;0,$H16&gt;0,OR(AUTOEVENTO&lt;&gt;"manual",$M16&lt;&gt;1)),ROUND(OFFSET($P16,0,DF$13),15-13*ORÇAMENTO!$AF$7)/$H16*OFFSET(ORÇAMENTO!$X$15,ROW(DF16)-ROW(DF$15),0),0)</f>
        <v>0</v>
      </c>
      <c r="DG16" s="628">
        <f ca="1">IF(AND($D16="Serviço",DG$12&lt;&gt;0,$H16&gt;0,OR(AUTOEVENTO&lt;&gt;"manual",$M16&lt;&gt;1)),ROUND(OFFSET($P16,0,DG$13),15-13*ORÇAMENTO!$AF$7)/$H16*OFFSET(ORÇAMENTO!$X$15,ROW(DG16)-ROW(DG$15),0),0)</f>
        <v>0</v>
      </c>
      <c r="DH16" s="628">
        <f ca="1">IF(AND($D16="Serviço",DH$12&lt;&gt;0,$H16&gt;0,OR(AUTOEVENTO&lt;&gt;"manual",$M16&lt;&gt;1)),ROUND(OFFSET($P16,0,DH$13),15-13*ORÇAMENTO!$AF$7)/$H16*OFFSET(ORÇAMENTO!$X$15,ROW(DH16)-ROW(DH$15),0),0)</f>
        <v>0</v>
      </c>
      <c r="DI16" s="628">
        <f ca="1">IF(AND($D16="Serviço",DI$12&lt;&gt;0,$H16&gt;0,OR(AUTOEVENTO&lt;&gt;"manual",$M16&lt;&gt;1)),ROUND(OFFSET($P16,0,DI$13),15-13*ORÇAMENTO!$AF$7)/$H16*OFFSET(ORÇAMENTO!$X$15,ROW(DI16)-ROW(DI$15),0),0)</f>
        <v>0</v>
      </c>
      <c r="DJ16" s="628">
        <f ca="1">IF(AND($D16="Serviço",DJ$12&lt;&gt;0,$H16&gt;0,OR(AUTOEVENTO&lt;&gt;"manual",$M16&lt;&gt;1)),ROUND(OFFSET($P16,0,DJ$13),15-13*ORÇAMENTO!$AF$7)/$H16*OFFSET(ORÇAMENTO!$X$15,ROW(DJ16)-ROW(DJ$15),0),0)</f>
        <v>0</v>
      </c>
      <c r="DK16" s="628">
        <f ca="1">IF(AND($D16="Serviço",DK$12&lt;&gt;0,$H16&gt;0,OR(AUTOEVENTO&lt;&gt;"manual",$M16&lt;&gt;1)),ROUND(OFFSET($P16,0,DK$13),15-13*ORÇAMENTO!$AF$7)/$H16*OFFSET(ORÇAMENTO!$X$15,ROW(DK16)-ROW(DK$15),0),0)</f>
        <v>0</v>
      </c>
      <c r="DL16" s="628">
        <f ca="1">IF(AND($D16="Serviço",DL$12&lt;&gt;0,$H16&gt;0,OR(AUTOEVENTO&lt;&gt;"manual",$M16&lt;&gt;1)),ROUND(OFFSET($P16,0,DL$13),15-13*ORÇAMENTO!$AF$7)/$H16*OFFSET(ORÇAMENTO!$X$15,ROW(DL16)-ROW(DL$15),0),0)</f>
        <v>0</v>
      </c>
      <c r="DM16" s="629">
        <f ca="1">IF(AND($D16="Serviço",DM$12&lt;&gt;0,$H16&gt;0,OR(AUTOEVENTO&lt;&gt;"manual",$M16&lt;&gt;1)),ROUND(OFFSET($P16,0,DM$13),15-13*ORÇAMENTO!$AF$7)/$H16*OFFSET(ORÇAMENTO!$X$15,ROW(DM16)-ROW(DM$15),0),0)</f>
        <v>0</v>
      </c>
      <c r="DO16" s="211">
        <f ca="1">IF($D16&lt;&gt;"Serviço",0,IF(AND(AUTOEVENTO="Manual",$M16=1),0,IF(OFFSET(CRONOPLE!$F$14,$M16,DO$13)="",10^12,OFFSET(CRONOPLE!$F$14,$M16,DO$13))))</f>
        <v>0</v>
      </c>
      <c r="DP16" s="211">
        <f ca="1">IF($D16&lt;&gt;"Serviço",0,IF(AND(AUTOEVENTO="Manual",$M16=1),0,IF(OFFSET(CRONOPLE!$F$14,$M16,DP$13)="",10^12,OFFSET(CRONOPLE!$F$14,$M16,DP$13))))</f>
        <v>0</v>
      </c>
      <c r="DQ16" s="211">
        <f ca="1">IF($D16&lt;&gt;"Serviço",0,IF(AND(AUTOEVENTO="Manual",$M16=1),0,IF(OFFSET(CRONOPLE!$F$14,$M16,DQ$13)="",10^12,OFFSET(CRONOPLE!$F$14,$M16,DQ$13))))</f>
        <v>0</v>
      </c>
      <c r="DR16" s="211">
        <f ca="1">IF($D16&lt;&gt;"Serviço",0,IF(AND(AUTOEVENTO="Manual",$M16=1),0,IF(OFFSET(CRONOPLE!$F$14,$M16,DR$13)="",10^12,OFFSET(CRONOPLE!$F$14,$M16,DR$13))))</f>
        <v>0</v>
      </c>
      <c r="DS16" s="211">
        <f ca="1">IF($D16&lt;&gt;"Serviço",0,IF(AND(AUTOEVENTO="Manual",$M16=1),0,IF(OFFSET(CRONOPLE!$F$14,$M16,DS$13)="",10^12,OFFSET(CRONOPLE!$F$14,$M16,DS$13))))</f>
        <v>0</v>
      </c>
      <c r="DT16" s="211">
        <f ca="1">IF($D16&lt;&gt;"Serviço",0,IF(AND(AUTOEVENTO="Manual",$M16=1),0,IF(OFFSET(CRONOPLE!$F$14,$M16,DT$13)="",10^12,OFFSET(CRONOPLE!$F$14,$M16,DT$13))))</f>
        <v>0</v>
      </c>
      <c r="DU16" s="211">
        <f ca="1">IF($D16&lt;&gt;"Serviço",0,IF(AND(AUTOEVENTO="Manual",$M16=1),0,IF(OFFSET(CRONOPLE!$F$14,$M16,DU$13)="",10^12,OFFSET(CRONOPLE!$F$14,$M16,DU$13))))</f>
        <v>0</v>
      </c>
      <c r="DV16" s="211">
        <f ca="1">IF($D16&lt;&gt;"Serviço",0,IF(AND(AUTOEVENTO="Manual",$M16=1),0,IF(OFFSET(CRONOPLE!$F$14,$M16,DV$13)="",10^12,OFFSET(CRONOPLE!$F$14,$M16,DV$13))))</f>
        <v>0</v>
      </c>
      <c r="DW16" s="211">
        <f ca="1">IF($D16&lt;&gt;"Serviço",0,IF(AND(AUTOEVENTO="Manual",$M16=1),0,IF(OFFSET(CRONOPLE!$F$14,$M16,DW$13)="",10^12,OFFSET(CRONOPLE!$F$14,$M16,DW$13))))</f>
        <v>0</v>
      </c>
      <c r="DX16" s="211">
        <f ca="1">IF($D16&lt;&gt;"Serviço",0,IF(AND(AUTOEVENTO="Manual",$M16=1),0,IF(OFFSET(CRONOPLE!$F$14,$M16,DX$13)="",10^12,OFFSET(CRONOPLE!$F$14,$M16,DX$13))))</f>
        <v>0</v>
      </c>
      <c r="DY16" s="211">
        <f ca="1">IF($D16&lt;&gt;"Serviço",0,IF(AND(AUTOEVENTO="Manual",$M16=1),0,IF(OFFSET(CRONOPLE!$F$14,$M16,DY$13)="",10^12,OFFSET(CRONOPLE!$F$14,$M16,DY$13))))</f>
        <v>0</v>
      </c>
      <c r="DZ16" s="211">
        <f ca="1">IF($D16&lt;&gt;"Serviço",0,IF(AND(AUTOEVENTO="Manual",$M16=1),0,IF(OFFSET(CRONOPLE!$F$14,$M16,DZ$13)="",10^12,OFFSET(CRONOPLE!$F$14,$M16,DZ$13))))</f>
        <v>0</v>
      </c>
      <c r="EA16" s="211">
        <f ca="1">IF($D16&lt;&gt;"Serviço",0,IF(AND(AUTOEVENTO="Manual",$M16=1),0,IF(OFFSET(CRONOPLE!$F$14,$M16,EA$13)="",10^12,OFFSET(CRONOPLE!$F$14,$M16,EA$13))))</f>
        <v>0</v>
      </c>
      <c r="EB16" s="211">
        <f ca="1">IF($D16&lt;&gt;"Serviço",0,IF(AND(AUTOEVENTO="Manual",$M16=1),0,IF(OFFSET(CRONOPLE!$F$14,$M16,EB$13)="",10^12,OFFSET(CRONOPLE!$F$14,$M16,EB$13))))</f>
        <v>0</v>
      </c>
      <c r="EC16" s="211">
        <f ca="1">IF($D16&lt;&gt;"Serviço",0,IF(AND(AUTOEVENTO="Manual",$M16=1),0,IF(OFFSET(CRONOPLE!$F$14,$M16,EC$13)="",10^12,OFFSET(CRONOPLE!$F$14,$M16,EC$13))))</f>
        <v>0</v>
      </c>
      <c r="ED16" s="211">
        <f ca="1">IF($D16&lt;&gt;"Serviço",0,IF(AND(AUTOEVENTO="Manual",$M16=1),0,IF(OFFSET(CRONOPLE!$F$14,$M16,ED$13)="",10^12,OFFSET(CRONOPLE!$F$14,$M16,ED$13))))</f>
        <v>0</v>
      </c>
      <c r="EE16" s="211">
        <f ca="1">IF($D16&lt;&gt;"Serviço",0,IF(AND(AUTOEVENTO="Manual",$M16=1),0,IF(OFFSET(CRONOPLE!$F$14,$M16,EE$13)="",10^12,OFFSET(CRONOPLE!$F$14,$M16,EE$13))))</f>
        <v>0</v>
      </c>
      <c r="EF16" s="211">
        <f ca="1">IF($D16&lt;&gt;"Serviço",0,IF(AND(AUTOEVENTO="Manual",$M16=1),0,IF(OFFSET(CRONOPLE!$F$14,$M16,EF$13)="",10^12,OFFSET(CRONOPLE!$F$14,$M16,EF$13))))</f>
        <v>0</v>
      </c>
      <c r="EG16" s="211">
        <f ca="1">IF($D16&lt;&gt;"Serviço",0,IF(AND(AUTOEVENTO="Manual",$M16=1),0,IF(OFFSET(CRONOPLE!$F$14,$M16,EG$13)="",10^12,OFFSET(CRONOPLE!$F$14,$M16,EG$13))))</f>
        <v>0</v>
      </c>
      <c r="EH16" s="211">
        <f ca="1">IF($D16&lt;&gt;"Serviço",0,IF(AND(AUTOEVENTO="Manual",$M16=1),0,IF(OFFSET(CRONOPLE!$F$14,$M16,EH$13)="",10^12,OFFSET(CRONOPLE!$F$14,$M16,EH$13))))</f>
        <v>0</v>
      </c>
      <c r="EI16" s="211">
        <f ca="1">IF($D16&lt;&gt;"Serviço",0,IF(AND(AUTOEVENTO="Manual",$M16=1),0,IF(OFFSET(CRONOPLE!$F$14,$M16,EI$13)="",10^12,OFFSET(CRONOPLE!$F$14,$M16,EI$13))))</f>
        <v>0</v>
      </c>
      <c r="EJ16" s="211">
        <f ca="1">IF($D16&lt;&gt;"Serviço",0,IF(AND(AUTOEVENTO="Manual",$M16=1),0,IF(OFFSET(CRONOPLE!$F$14,$M16,EJ$13)="",10^12,OFFSET(CRONOPLE!$F$14,$M16,EJ$13))))</f>
        <v>0</v>
      </c>
      <c r="EK16" s="211">
        <f ca="1">IF($D16&lt;&gt;"Serviço",0,IF(AND(AUTOEVENTO="Manual",$M16=1),0,IF(OFFSET(CRONOPLE!$F$14,$M16,EK$13)="",10^12,OFFSET(CRONOPLE!$F$14,$M16,EK$13))))</f>
        <v>0</v>
      </c>
      <c r="EL16" s="211">
        <f ca="1">IF($D16&lt;&gt;"Serviço",0,IF(AND(AUTOEVENTO="Manual",$M16=1),0,IF(OFFSET(CRONOPLE!$F$14,$M16,EL$13)="",10^12,OFFSET(CRONOPLE!$F$14,$M16,EL$13))))</f>
        <v>0</v>
      </c>
      <c r="EM16" s="211">
        <f ca="1">IF($D16&lt;&gt;"Serviço",0,IF(AND(AUTOEVENTO="Manual",$M16=1),0,IF(OFFSET(CRONOPLE!$F$14,$M16,EM$13)="",10^12,OFFSET(CRONOPLE!$F$14,$M16,EM$13))))</f>
        <v>0</v>
      </c>
      <c r="EN16" s="211">
        <f ca="1">IF($D16&lt;&gt;"Serviço",0,IF(AND(AUTOEVENTO="Manual",$M16=1),0,IF(OFFSET(CRONOPLE!$F$14,$M16,EN$13)="",10^12,OFFSET(CRONOPLE!$F$14,$M16,EN$13))))</f>
        <v>0</v>
      </c>
      <c r="EO16" s="211">
        <f ca="1">IF($D16&lt;&gt;"Serviço",0,IF(AND(AUTOEVENTO="Manual",$M16=1),0,IF(OFFSET(CRONOPLE!$F$14,$M16,EO$13)="",10^12,OFFSET(CRONOPLE!$F$14,$M16,EO$13))))</f>
        <v>0</v>
      </c>
      <c r="EP16" s="211">
        <f ca="1">IF($D16&lt;&gt;"Serviço",0,IF(AND(AUTOEVENTO="Manual",$M16=1),0,IF(OFFSET(CRONOPLE!$F$14,$M16,EP$13)="",10^12,OFFSET(CRONOPLE!$F$14,$M16,EP$13))))</f>
        <v>0</v>
      </c>
      <c r="EQ16" s="211">
        <f ca="1">IF($D16&lt;&gt;"Serviço",0,IF(AND(AUTOEVENTO="Manual",$M16=1),0,IF(OFFSET(CRONOPLE!$F$14,$M16,EQ$13)="",10^12,OFFSET(CRONOPLE!$F$14,$M16,EQ$13))))</f>
        <v>0</v>
      </c>
      <c r="ER16" s="211">
        <f ca="1">IF($D16&lt;&gt;"Serviço",0,IF(AND(AUTOEVENTO="Manual",$M16=1),0,IF(OFFSET(CRONOPLE!$F$14,$M16,ER$13)="",10^12,OFFSET(CRONOPLE!$F$14,$M16,ER$13))))</f>
        <v>0</v>
      </c>
      <c r="ES16" s="211">
        <f ca="1">IF($D16&lt;&gt;"Serviço",0,IF(AND(AUTOEVENTO="Manual",$M16=1),0,IF(OFFSET(CRONOPLE!$F$14,$M16,ES$13)="",10^12,OFFSET(CRONOPLE!$F$14,$M16,ES$13))))</f>
        <v>0</v>
      </c>
      <c r="ET16" s="211">
        <f ca="1">IF($D16&lt;&gt;"Serviço",0,IF(AND(AUTOEVENTO="Manual",$M16=1),0,IF(OFFSET(CRONOPLE!$F$14,$M16,ET$13)="",10^12,OFFSET(CRONOPLE!$F$14,$M16,ET$13))))</f>
        <v>0</v>
      </c>
      <c r="EU16" s="211">
        <f ca="1">IF($D16&lt;&gt;"Serviço",0,IF(AND(AUTOEVENTO="Manual",$M16=1),0,IF(OFFSET(CRONOPLE!$F$14,$M16,EU$13)="",10^12,OFFSET(CRONOPLE!$F$14,$M16,EU$13))))</f>
        <v>0</v>
      </c>
      <c r="EV16" s="211">
        <f ca="1">IF($D16&lt;&gt;"Serviço",0,IF(AND(AUTOEVENTO="Manual",$M16=1),0,IF(OFFSET(CRONOPLE!$F$14,$M16,EV$13)="",10^12,OFFSET(CRONOPLE!$F$14,$M16,EV$13))))</f>
        <v>0</v>
      </c>
      <c r="EW16" s="211">
        <f ca="1">IF($D16&lt;&gt;"Serviço",0,IF(AND(AUTOEVENTO="Manual",$M16=1),0,IF(OFFSET(CRONOPLE!$F$14,$M16,EW$13)="",10^12,OFFSET(CRONOPLE!$F$14,$M16,EW$13))))</f>
        <v>0</v>
      </c>
      <c r="EX16" s="211">
        <f ca="1">IF($D16&lt;&gt;"Serviço",0,IF(AND(AUTOEVENTO="Manual",$M16=1),0,IF(OFFSET(CRONOPLE!$F$14,$M16,EX$13)="",10^12,OFFSET(CRONOPLE!$F$14,$M16,EX$13))))</f>
        <v>0</v>
      </c>
      <c r="EY16" s="211">
        <f ca="1">IF($D16&lt;&gt;"Serviço",0,IF(AND(AUTOEVENTO="Manual",$M16=1),0,IF(OFFSET(CRONOPLE!$F$14,$M16,EY$13)="",10^12,OFFSET(CRONOPLE!$F$14,$M16,EY$13))))</f>
        <v>0</v>
      </c>
      <c r="EZ16" s="211">
        <f ca="1">IF($D16&lt;&gt;"Serviço",0,IF(AND(AUTOEVENTO="Manual",$M16=1),0,IF(OFFSET(CRONOPLE!$F$14,$M16,EZ$13)="",10^12,OFFSET(CRONOPLE!$F$14,$M16,EZ$13))))</f>
        <v>0</v>
      </c>
      <c r="FA16" s="211">
        <f ca="1">IF($D16&lt;&gt;"Serviço",0,IF(AND(AUTOEVENTO="Manual",$M16=1),0,IF(OFFSET(CRONOPLE!$F$14,$M16,FA$13)="",10^12,OFFSET(CRONOPLE!$F$14,$M16,FA$13))))</f>
        <v>0</v>
      </c>
      <c r="FB16" s="211">
        <f ca="1">IF($D16&lt;&gt;"Serviço",0,IF(AND(AUTOEVENTO="Manual",$M16=1),0,IF(OFFSET(CRONOPLE!$F$14,$M16,FB$13)="",10^12,OFFSET(CRONOPLE!$F$14,$M16,FB$13))))</f>
        <v>0</v>
      </c>
      <c r="FC16" s="211">
        <f ca="1">IF($D16&lt;&gt;"Serviço",0,IF(AND(AUTOEVENTO="Manual",$M16=1),0,IF(OFFSET(CRONOPLE!$F$14,$M16,FC$13)="",10^12,OFFSET(CRONOPLE!$F$14,$M16,FC$13))))</f>
        <v>0</v>
      </c>
      <c r="FD16" s="211">
        <f ca="1">IF($D16&lt;&gt;"Serviço",0,IF(AND(AUTOEVENTO="Manual",$M16=1),0,IF(OFFSET(CRONOPLE!$F$14,$M16,FD$13)="",10^12,OFFSET(CRONOPLE!$F$14,$M16,FD$13))))</f>
        <v>0</v>
      </c>
      <c r="FE16" s="211">
        <f ca="1">IF($D16&lt;&gt;"Serviço",0,IF(AND(AUTOEVENTO="Manual",$M16=1),0,IF(OFFSET(CRONOPLE!$F$14,$M16,FE$13)="",10^12,OFFSET(CRONOPLE!$F$14,$M16,FE$13))))</f>
        <v>0</v>
      </c>
      <c r="FF16" s="211">
        <f ca="1">IF($D16&lt;&gt;"Serviço",0,IF(AND(AUTOEVENTO="Manual",$M16=1),0,IF(OFFSET(CRONOPLE!$F$14,$M16,FF$13)="",10^12,OFFSET(CRONOPLE!$F$14,$M16,FF$13))))</f>
        <v>0</v>
      </c>
      <c r="FG16" s="211">
        <f ca="1">IF($D16&lt;&gt;"Serviço",0,IF(AND(AUTOEVENTO="Manual",$M16=1),0,IF(OFFSET(CRONOPLE!$F$14,$M16,FG$13)="",10^12,OFFSET(CRONOPLE!$F$14,$M16,FG$13))))</f>
        <v>0</v>
      </c>
      <c r="FH16" s="211">
        <f ca="1">IF($D16&lt;&gt;"Serviço",0,IF(AND(AUTOEVENTO="Manual",$M16=1),0,IF(OFFSET(CRONOPLE!$F$14,$M16,FH$13)="",10^12,OFFSET(CRONOPLE!$F$14,$M16,FH$13))))</f>
        <v>0</v>
      </c>
      <c r="FI16" s="211">
        <f ca="1">IF($D16&lt;&gt;"Serviço",0,IF(AND(AUTOEVENTO="Manual",$M16=1),0,IF(OFFSET(CRONOPLE!$F$14,$M16,FI$13)="",10^12,OFFSET(CRONOPLE!$F$14,$M16,FI$13))))</f>
        <v>0</v>
      </c>
      <c r="FJ16" s="211">
        <f ca="1">IF($D16&lt;&gt;"Serviço",0,IF(AND(AUTOEVENTO="Manual",$M16=1),0,IF(OFFSET(CRONOPLE!$F$14,$M16,FJ$13)="",10^12,OFFSET(CRONOPLE!$F$14,$M16,FJ$13))))</f>
        <v>0</v>
      </c>
      <c r="FK16" s="211">
        <f ca="1">IF($D16&lt;&gt;"Serviço",0,IF(AND(AUTOEVENTO="Manual",$M16=1),0,IF(OFFSET(CRONOPLE!$F$14,$M16,FK$13)="",10^12,OFFSET(CRONOPLE!$F$14,$M16,FK$13))))</f>
        <v>0</v>
      </c>
      <c r="FL16" s="211">
        <f ca="1">IF($D16&lt;&gt;"Serviço",0,IF(AND(AUTOEVENTO="Manual",$M16=1),0,IF(OFFSET(CRONOPLE!$F$14,$M16,FL$13)="",10^12,OFFSET(CRONOPLE!$F$14,$M16,FL$13))))</f>
        <v>0</v>
      </c>
      <c r="FN16" s="212">
        <f ca="1">IF($D16&lt;&gt;"Serviço",0,IF(OR(AND(AUTOEVENTO="Manual",$M16=1),$M16&gt;(ROW(PLE.lastrow)-ROW(PLE.firstrow))),0,IF(OFFSET(PLE!$G$14,$M16,FN$13)="",10^12,OFFSET(PLE!$G$14,$M16,FN$13))))</f>
        <v>0</v>
      </c>
      <c r="FO16" s="212">
        <f ca="1">IF($D16&lt;&gt;"Serviço",0,IF(OR(AND(AUTOEVENTO="Manual",$M16=1),$M16&gt;(ROW(PLE.lastrow)-ROW(PLE.firstrow))),0,IF(OFFSET(PLE!$G$14,$M16,FO$13)="",10^12,OFFSET(PLE!$G$14,$M16,FO$13))))</f>
        <v>0</v>
      </c>
      <c r="FP16" s="212">
        <f ca="1">IF($D16&lt;&gt;"Serviço",0,IF(OR(AND(AUTOEVENTO="Manual",$M16=1),$M16&gt;(ROW(PLE.lastrow)-ROW(PLE.firstrow))),0,IF(OFFSET(PLE!$G$14,$M16,FP$13)="",10^12,OFFSET(PLE!$G$14,$M16,FP$13))))</f>
        <v>0</v>
      </c>
      <c r="FQ16" s="212">
        <f ca="1">IF($D16&lt;&gt;"Serviço",0,IF(OR(AND(AUTOEVENTO="Manual",$M16=1),$M16&gt;(ROW(PLE.lastrow)-ROW(PLE.firstrow))),0,IF(OFFSET(PLE!$G$14,$M16,FQ$13)="",10^12,OFFSET(PLE!$G$14,$M16,FQ$13))))</f>
        <v>0</v>
      </c>
      <c r="FR16" s="212">
        <f ca="1">IF($D16&lt;&gt;"Serviço",0,IF(OR(AND(AUTOEVENTO="Manual",$M16=1),$M16&gt;(ROW(PLE.lastrow)-ROW(PLE.firstrow))),0,IF(OFFSET(PLE!$G$14,$M16,FR$13)="",10^12,OFFSET(PLE!$G$14,$M16,FR$13))))</f>
        <v>0</v>
      </c>
      <c r="FS16" s="212">
        <f ca="1">IF($D16&lt;&gt;"Serviço",0,IF(OR(AND(AUTOEVENTO="Manual",$M16=1),$M16&gt;(ROW(PLE.lastrow)-ROW(PLE.firstrow))),0,IF(OFFSET(PLE!$G$14,$M16,FS$13)="",10^12,OFFSET(PLE!$G$14,$M16,FS$13))))</f>
        <v>0</v>
      </c>
      <c r="FT16" s="212">
        <f ca="1">IF($D16&lt;&gt;"Serviço",0,IF(OR(AND(AUTOEVENTO="Manual",$M16=1),$M16&gt;(ROW(PLE.lastrow)-ROW(PLE.firstrow))),0,IF(OFFSET(PLE!$G$14,$M16,FT$13)="",10^12,OFFSET(PLE!$G$14,$M16,FT$13))))</f>
        <v>0</v>
      </c>
      <c r="FU16" s="212">
        <f ca="1">IF($D16&lt;&gt;"Serviço",0,IF(OR(AND(AUTOEVENTO="Manual",$M16=1),$M16&gt;(ROW(PLE.lastrow)-ROW(PLE.firstrow))),0,IF(OFFSET(PLE!$G$14,$M16,FU$13)="",10^12,OFFSET(PLE!$G$14,$M16,FU$13))))</f>
        <v>0</v>
      </c>
      <c r="FV16" s="212">
        <f ca="1">IF($D16&lt;&gt;"Serviço",0,IF(OR(AND(AUTOEVENTO="Manual",$M16=1),$M16&gt;(ROW(PLE.lastrow)-ROW(PLE.firstrow))),0,IF(OFFSET(PLE!$G$14,$M16,FV$13)="",10^12,OFFSET(PLE!$G$14,$M16,FV$13))))</f>
        <v>0</v>
      </c>
      <c r="FW16" s="212">
        <f ca="1">IF($D16&lt;&gt;"Serviço",0,IF(OR(AND(AUTOEVENTO="Manual",$M16=1),$M16&gt;(ROW(PLE.lastrow)-ROW(PLE.firstrow))),0,IF(OFFSET(PLE!$G$14,$M16,FW$13)="",10^12,OFFSET(PLE!$G$14,$M16,FW$13))))</f>
        <v>0</v>
      </c>
      <c r="FX16" s="212">
        <f ca="1">IF($D16&lt;&gt;"Serviço",0,IF(OR(AND(AUTOEVENTO="Manual",$M16=1),$M16&gt;(ROW(PLE.lastrow)-ROW(PLE.firstrow))),0,IF(OFFSET(PLE!$G$14,$M16,FX$13)="",10^12,OFFSET(PLE!$G$14,$M16,FX$13))))</f>
        <v>0</v>
      </c>
      <c r="FY16" s="212">
        <f ca="1">IF($D16&lt;&gt;"Serviço",0,IF(OR(AND(AUTOEVENTO="Manual",$M16=1),$M16&gt;(ROW(PLE.lastrow)-ROW(PLE.firstrow))),0,IF(OFFSET(PLE!$G$14,$M16,FY$13)="",10^12,OFFSET(PLE!$G$14,$M16,FY$13))))</f>
        <v>0</v>
      </c>
      <c r="FZ16" s="212">
        <f ca="1">IF($D16&lt;&gt;"Serviço",0,IF(OR(AND(AUTOEVENTO="Manual",$M16=1),$M16&gt;(ROW(PLE.lastrow)-ROW(PLE.firstrow))),0,IF(OFFSET(PLE!$G$14,$M16,FZ$13)="",10^12,OFFSET(PLE!$G$14,$M16,FZ$13))))</f>
        <v>0</v>
      </c>
      <c r="GA16" s="212">
        <f ca="1">IF($D16&lt;&gt;"Serviço",0,IF(OR(AND(AUTOEVENTO="Manual",$M16=1),$M16&gt;(ROW(PLE.lastrow)-ROW(PLE.firstrow))),0,IF(OFFSET(PLE!$G$14,$M16,GA$13)="",10^12,OFFSET(PLE!$G$14,$M16,GA$13))))</f>
        <v>0</v>
      </c>
      <c r="GB16" s="212">
        <f ca="1">IF($D16&lt;&gt;"Serviço",0,IF(OR(AND(AUTOEVENTO="Manual",$M16=1),$M16&gt;(ROW(PLE.lastrow)-ROW(PLE.firstrow))),0,IF(OFFSET(PLE!$G$14,$M16,GB$13)="",10^12,OFFSET(PLE!$G$14,$M16,GB$13))))</f>
        <v>0</v>
      </c>
      <c r="GC16" s="212">
        <f ca="1">IF($D16&lt;&gt;"Serviço",0,IF(OR(AND(AUTOEVENTO="Manual",$M16=1),$M16&gt;(ROW(PLE.lastrow)-ROW(PLE.firstrow))),0,IF(OFFSET(PLE!$G$14,$M16,GC$13)="",10^12,OFFSET(PLE!$G$14,$M16,GC$13))))</f>
        <v>0</v>
      </c>
      <c r="GD16" s="212">
        <f ca="1">IF($D16&lt;&gt;"Serviço",0,IF(OR(AND(AUTOEVENTO="Manual",$M16=1),$M16&gt;(ROW(PLE.lastrow)-ROW(PLE.firstrow))),0,IF(OFFSET(PLE!$G$14,$M16,GD$13)="",10^12,OFFSET(PLE!$G$14,$M16,GD$13))))</f>
        <v>0</v>
      </c>
      <c r="GE16" s="212">
        <f ca="1">IF($D16&lt;&gt;"Serviço",0,IF(OR(AND(AUTOEVENTO="Manual",$M16=1),$M16&gt;(ROW(PLE.lastrow)-ROW(PLE.firstrow))),0,IF(OFFSET(PLE!$G$14,$M16,GE$13)="",10^12,OFFSET(PLE!$G$14,$M16,GE$13))))</f>
        <v>0</v>
      </c>
      <c r="GF16" s="212">
        <f ca="1">IF($D16&lt;&gt;"Serviço",0,IF(OR(AND(AUTOEVENTO="Manual",$M16=1),$M16&gt;(ROW(PLE.lastrow)-ROW(PLE.firstrow))),0,IF(OFFSET(PLE!$G$14,$M16,GF$13)="",10^12,OFFSET(PLE!$G$14,$M16,GF$13))))</f>
        <v>0</v>
      </c>
      <c r="GG16" s="212">
        <f ca="1">IF($D16&lt;&gt;"Serviço",0,IF(OR(AND(AUTOEVENTO="Manual",$M16=1),$M16&gt;(ROW(PLE.lastrow)-ROW(PLE.firstrow))),0,IF(OFFSET(PLE!$G$14,$M16,GG$13)="",10^12,OFFSET(PLE!$G$14,$M16,GG$13))))</f>
        <v>0</v>
      </c>
      <c r="GH16" s="212">
        <f ca="1">IF($D16&lt;&gt;"Serviço",0,IF(OR(AND(AUTOEVENTO="Manual",$M16=1),$M16&gt;(ROW(PLE.lastrow)-ROW(PLE.firstrow))),0,IF(OFFSET(PLE!$G$14,$M16,GH$13)="",10^12,OFFSET(PLE!$G$14,$M16,GH$13))))</f>
        <v>0</v>
      </c>
      <c r="GI16" s="212">
        <f ca="1">IF($D16&lt;&gt;"Serviço",0,IF(OR(AND(AUTOEVENTO="Manual",$M16=1),$M16&gt;(ROW(PLE.lastrow)-ROW(PLE.firstrow))),0,IF(OFFSET(PLE!$G$14,$M16,GI$13)="",10^12,OFFSET(PLE!$G$14,$M16,GI$13))))</f>
        <v>0</v>
      </c>
      <c r="GJ16" s="212">
        <f ca="1">IF($D16&lt;&gt;"Serviço",0,IF(OR(AND(AUTOEVENTO="Manual",$M16=1),$M16&gt;(ROW(PLE.lastrow)-ROW(PLE.firstrow))),0,IF(OFFSET(PLE!$G$14,$M16,GJ$13)="",10^12,OFFSET(PLE!$G$14,$M16,GJ$13))))</f>
        <v>0</v>
      </c>
      <c r="GK16" s="212">
        <f ca="1">IF($D16&lt;&gt;"Serviço",0,IF(OR(AND(AUTOEVENTO="Manual",$M16=1),$M16&gt;(ROW(PLE.lastrow)-ROW(PLE.firstrow))),0,IF(OFFSET(PLE!$G$14,$M16,GK$13)="",10^12,OFFSET(PLE!$G$14,$M16,GK$13))))</f>
        <v>0</v>
      </c>
      <c r="GL16" s="212">
        <f ca="1">IF($D16&lt;&gt;"Serviço",0,IF(OR(AND(AUTOEVENTO="Manual",$M16=1),$M16&gt;(ROW(PLE.lastrow)-ROW(PLE.firstrow))),0,IF(OFFSET(PLE!$G$14,$M16,GL$13)="",10^12,OFFSET(PLE!$G$14,$M16,GL$13))))</f>
        <v>0</v>
      </c>
      <c r="GM16" s="212">
        <f ca="1">IF($D16&lt;&gt;"Serviço",0,IF(OR(AND(AUTOEVENTO="Manual",$M16=1),$M16&gt;(ROW(PLE.lastrow)-ROW(PLE.firstrow))),0,IF(OFFSET(PLE!$G$14,$M16,GM$13)="",10^12,OFFSET(PLE!$G$14,$M16,GM$13))))</f>
        <v>0</v>
      </c>
      <c r="GN16" s="212">
        <f ca="1">IF($D16&lt;&gt;"Serviço",0,IF(OR(AND(AUTOEVENTO="Manual",$M16=1),$M16&gt;(ROW(PLE.lastrow)-ROW(PLE.firstrow))),0,IF(OFFSET(PLE!$G$14,$M16,GN$13)="",10^12,OFFSET(PLE!$G$14,$M16,GN$13))))</f>
        <v>0</v>
      </c>
      <c r="GO16" s="212">
        <f ca="1">IF($D16&lt;&gt;"Serviço",0,IF(OR(AND(AUTOEVENTO="Manual",$M16=1),$M16&gt;(ROW(PLE.lastrow)-ROW(PLE.firstrow))),0,IF(OFFSET(PLE!$G$14,$M16,GO$13)="",10^12,OFFSET(PLE!$G$14,$M16,GO$13))))</f>
        <v>0</v>
      </c>
      <c r="GP16" s="212">
        <f ca="1">IF($D16&lt;&gt;"Serviço",0,IF(OR(AND(AUTOEVENTO="Manual",$M16=1),$M16&gt;(ROW(PLE.lastrow)-ROW(PLE.firstrow))),0,IF(OFFSET(PLE!$G$14,$M16,GP$13)="",10^12,OFFSET(PLE!$G$14,$M16,GP$13))))</f>
        <v>0</v>
      </c>
      <c r="GQ16" s="212">
        <f ca="1">IF($D16&lt;&gt;"Serviço",0,IF(OR(AND(AUTOEVENTO="Manual",$M16=1),$M16&gt;(ROW(PLE.lastrow)-ROW(PLE.firstrow))),0,IF(OFFSET(PLE!$G$14,$M16,GQ$13)="",10^12,OFFSET(PLE!$G$14,$M16,GQ$13))))</f>
        <v>0</v>
      </c>
      <c r="GR16" s="212">
        <f ca="1">IF($D16&lt;&gt;"Serviço",0,IF(OR(AND(AUTOEVENTO="Manual",$M16=1),$M16&gt;(ROW(PLE.lastrow)-ROW(PLE.firstrow))),0,IF(OFFSET(PLE!$G$14,$M16,GR$13)="",10^12,OFFSET(PLE!$G$14,$M16,GR$13))))</f>
        <v>0</v>
      </c>
      <c r="GS16" s="212">
        <f ca="1">IF($D16&lt;&gt;"Serviço",0,IF(OR(AND(AUTOEVENTO="Manual",$M16=1),$M16&gt;(ROW(PLE.lastrow)-ROW(PLE.firstrow))),0,IF(OFFSET(PLE!$G$14,$M16,GS$13)="",10^12,OFFSET(PLE!$G$14,$M16,GS$13))))</f>
        <v>0</v>
      </c>
      <c r="GT16" s="212">
        <f ca="1">IF($D16&lt;&gt;"Serviço",0,IF(OR(AND(AUTOEVENTO="Manual",$M16=1),$M16&gt;(ROW(PLE.lastrow)-ROW(PLE.firstrow))),0,IF(OFFSET(PLE!$G$14,$M16,GT$13)="",10^12,OFFSET(PLE!$G$14,$M16,GT$13))))</f>
        <v>0</v>
      </c>
      <c r="GU16" s="212">
        <f ca="1">IF($D16&lt;&gt;"Serviço",0,IF(OR(AND(AUTOEVENTO="Manual",$M16=1),$M16&gt;(ROW(PLE.lastrow)-ROW(PLE.firstrow))),0,IF(OFFSET(PLE!$G$14,$M16,GU$13)="",10^12,OFFSET(PLE!$G$14,$M16,GU$13))))</f>
        <v>0</v>
      </c>
      <c r="GV16" s="212">
        <f ca="1">IF($D16&lt;&gt;"Serviço",0,IF(OR(AND(AUTOEVENTO="Manual",$M16=1),$M16&gt;(ROW(PLE.lastrow)-ROW(PLE.firstrow))),0,IF(OFFSET(PLE!$G$14,$M16,GV$13)="",10^12,OFFSET(PLE!$G$14,$M16,GV$13))))</f>
        <v>0</v>
      </c>
      <c r="GW16" s="212">
        <f ca="1">IF($D16&lt;&gt;"Serviço",0,IF(OR(AND(AUTOEVENTO="Manual",$M16=1),$M16&gt;(ROW(PLE.lastrow)-ROW(PLE.firstrow))),0,IF(OFFSET(PLE!$G$14,$M16,GW$13)="",10^12,OFFSET(PLE!$G$14,$M16,GW$13))))</f>
        <v>0</v>
      </c>
      <c r="GX16" s="212">
        <f ca="1">IF($D16&lt;&gt;"Serviço",0,IF(OR(AND(AUTOEVENTO="Manual",$M16=1),$M16&gt;(ROW(PLE.lastrow)-ROW(PLE.firstrow))),0,IF(OFFSET(PLE!$G$14,$M16,GX$13)="",10^12,OFFSET(PLE!$G$14,$M16,GX$13))))</f>
        <v>0</v>
      </c>
      <c r="GY16" s="212">
        <f ca="1">IF($D16&lt;&gt;"Serviço",0,IF(OR(AND(AUTOEVENTO="Manual",$M16=1),$M16&gt;(ROW(PLE.lastrow)-ROW(PLE.firstrow))),0,IF(OFFSET(PLE!$G$14,$M16,GY$13)="",10^12,OFFSET(PLE!$G$14,$M16,GY$13))))</f>
        <v>0</v>
      </c>
      <c r="GZ16" s="212">
        <f ca="1">IF($D16&lt;&gt;"Serviço",0,IF(OR(AND(AUTOEVENTO="Manual",$M16=1),$M16&gt;(ROW(PLE.lastrow)-ROW(PLE.firstrow))),0,IF(OFFSET(PLE!$G$14,$M16,GZ$13)="",10^12,OFFSET(PLE!$G$14,$M16,GZ$13))))</f>
        <v>0</v>
      </c>
      <c r="HA16" s="212">
        <f ca="1">IF($D16&lt;&gt;"Serviço",0,IF(OR(AND(AUTOEVENTO="Manual",$M16=1),$M16&gt;(ROW(PLE.lastrow)-ROW(PLE.firstrow))),0,IF(OFFSET(PLE!$G$14,$M16,HA$13)="",10^12,OFFSET(PLE!$G$14,$M16,HA$13))))</f>
        <v>0</v>
      </c>
      <c r="HB16" s="212">
        <f ca="1">IF($D16&lt;&gt;"Serviço",0,IF(OR(AND(AUTOEVENTO="Manual",$M16=1),$M16&gt;(ROW(PLE.lastrow)-ROW(PLE.firstrow))),0,IF(OFFSET(PLE!$G$14,$M16,HB$13)="",10^12,OFFSET(PLE!$G$14,$M16,HB$13))))</f>
        <v>0</v>
      </c>
      <c r="HC16" s="212">
        <f ca="1">IF($D16&lt;&gt;"Serviço",0,IF(OR(AND(AUTOEVENTO="Manual",$M16=1),$M16&gt;(ROW(PLE.lastrow)-ROW(PLE.firstrow))),0,IF(OFFSET(PLE!$G$14,$M16,HC$13)="",10^12,OFFSET(PLE!$G$14,$M16,HC$13))))</f>
        <v>0</v>
      </c>
      <c r="HD16" s="212">
        <f ca="1">IF($D16&lt;&gt;"Serviço",0,IF(OR(AND(AUTOEVENTO="Manual",$M16=1),$M16&gt;(ROW(PLE.lastrow)-ROW(PLE.firstrow))),0,IF(OFFSET(PLE!$G$14,$M16,HD$13)="",10^12,OFFSET(PLE!$G$14,$M16,HD$13))))</f>
        <v>0</v>
      </c>
      <c r="HE16" s="212">
        <f ca="1">IF($D16&lt;&gt;"Serviço",0,IF(OR(AND(AUTOEVENTO="Manual",$M16=1),$M16&gt;(ROW(PLE.lastrow)-ROW(PLE.firstrow))),0,IF(OFFSET(PLE!$G$14,$M16,HE$13)="",10^12,OFFSET(PLE!$G$14,$M16,HE$13))))</f>
        <v>0</v>
      </c>
      <c r="HF16" s="212">
        <f ca="1">IF($D16&lt;&gt;"Serviço",0,IF(OR(AND(AUTOEVENTO="Manual",$M16=1),$M16&gt;(ROW(PLE.lastrow)-ROW(PLE.firstrow))),0,IF(OFFSET(PLE!$G$14,$M16,HF$13)="",10^12,OFFSET(PLE!$G$14,$M16,HF$13))))</f>
        <v>0</v>
      </c>
      <c r="HG16" s="212">
        <f ca="1">IF($D16&lt;&gt;"Serviço",0,IF(OR(AND(AUTOEVENTO="Manual",$M16=1),$M16&gt;(ROW(PLE.lastrow)-ROW(PLE.firstrow))),0,IF(OFFSET(PLE!$G$14,$M16,HG$13)="",10^12,OFFSET(PLE!$G$14,$M16,HG$13))))</f>
        <v>0</v>
      </c>
      <c r="HH16" s="212">
        <f ca="1">IF($D16&lt;&gt;"Serviço",0,IF(OR(AND(AUTOEVENTO="Manual",$M16=1),$M16&gt;(ROW(PLE.lastrow)-ROW(PLE.firstrow))),0,IF(OFFSET(PLE!$G$14,$M16,HH$13)="",10^12,OFFSET(PLE!$G$14,$M16,HH$13))))</f>
        <v>0</v>
      </c>
      <c r="HI16" s="212">
        <f ca="1">IF($D16&lt;&gt;"Serviço",0,IF(OR(AND(AUTOEVENTO="Manual",$M16=1),$M16&gt;(ROW(PLE.lastrow)-ROW(PLE.firstrow))),0,IF(OFFSET(PLE!$G$14,$M16,HI$13)="",10^12,OFFSET(PLE!$G$14,$M16,HI$13))))</f>
        <v>0</v>
      </c>
      <c r="HJ16" s="212">
        <f ca="1">IF($D16&lt;&gt;"Serviço",0,IF(OR(AND(AUTOEVENTO="Manual",$M16=1),$M16&gt;(ROW(PLE.lastrow)-ROW(PLE.firstrow))),0,IF(OFFSET(PLE!$G$14,$M16,HJ$13)="",10^12,OFFSET(PLE!$G$14,$M16,HJ$13))))</f>
        <v>0</v>
      </c>
      <c r="HK16" s="212">
        <f ca="1">IF($D16&lt;&gt;"Serviço",0,IF(OR(AND(AUTOEVENTO="Manual",$M16=1),$M16&gt;(ROW(PLE.lastrow)-ROW(PLE.firstrow))),0,IF(OFFSET(PLE!$G$14,$M16,HK$13)="",10^12,OFFSET(PLE!$G$14,$M16,HK$13))))</f>
        <v>0</v>
      </c>
    </row>
    <row r="17" spans="1:219" ht="12.75" x14ac:dyDescent="0.2">
      <c r="A17" s="9" t="str">
        <f t="shared" ca="1" si="9"/>
        <v>2.</v>
      </c>
      <c r="B17" s="9">
        <f ca="1">OFFSET(ORÇAMENTO!C$15,ROW(B17)-ROW(B$15),0)</f>
        <v>2</v>
      </c>
      <c r="C17" s="9" t="str">
        <f ca="1">OFFSET(ORÇAMENTO!L$15,ROW(C17)-ROW(C$15),0)</f>
        <v>F</v>
      </c>
      <c r="D17" s="141" t="str">
        <f ca="1">OFFSET(ORÇAMENTO!N$15,ROW(D17)-ROW(D$15),0)</f>
        <v>Nível 2</v>
      </c>
      <c r="E17" s="201" t="str">
        <f ca="1">OFFSET(ORÇAMENTO!O$15,ROW(E17)-ROW(E$15),0)</f>
        <v>1.1.</v>
      </c>
      <c r="F17" s="202" t="str">
        <f ca="1">OFFSET(ORÇAMENTO!R$15,ROW(F17)-ROW(F$15),0)</f>
        <v>SERVIÇOS PRELIMINARES</v>
      </c>
      <c r="G17" s="203" t="str">
        <f ca="1">IF($D17&lt;&gt;"Serviço","",OFFSET(ORÇAMENTO!S$15,ROW(G17)-ROW(G$15),0))</f>
        <v/>
      </c>
      <c r="H17" s="147">
        <f ca="1">IF($D17&lt;&gt;"Serviço",0,IF(ACOMPANHAMENTO="BM",ROUND(OFFSET(ORÇAMENTO!AJ$15,ROW(H17)-ROW(H$15),0),15-13*ORÇAMENTO!$AF$7),SUMPRODUCT(($Q$12:$BO$12&lt;&gt;"")*ROUND($Q17:$BO17,15-13*ORÇAMENTO!$AF$7))))</f>
        <v>0</v>
      </c>
      <c r="I17" s="646"/>
      <c r="K17" s="204"/>
      <c r="L17" s="205" t="s">
        <v>257</v>
      </c>
      <c r="M17" s="206" t="str">
        <f ca="1">IF($D17&lt;&gt;"Serviço","",IF(AUTOEVENTO="manual",$A17,IF(ISERROR(MATCH($A17,$A$15:OFFSET($A17,-1,0),0)),MAX($M$15:OFFSET(M17,-1,0))+1,INDEX($M$15:OFFSET(M17,-1,0),MATCH($A17,$A$15:OFFSET($A17,-1,0),0)))))</f>
        <v/>
      </c>
      <c r="N17" s="207" t="str">
        <f ca="1">IF($D17&lt;&gt;"Serviço","",IF(AUTOEVENTO="Manual",IF($A17=0,"&lt;-- defina o número do agrupador",OFFSET(EVENTOS!$D$14,$A17,0)),OFFSET($F$15,$A17,0)))</f>
        <v/>
      </c>
      <c r="O17" s="208"/>
      <c r="Q17" s="208"/>
      <c r="R17" s="209"/>
      <c r="S17" s="209"/>
      <c r="T17" s="209"/>
      <c r="U17" s="209"/>
      <c r="V17" s="209"/>
      <c r="W17" s="209"/>
      <c r="X17" s="209"/>
      <c r="Y17" s="209"/>
      <c r="Z17" s="210"/>
      <c r="AA17" s="209"/>
      <c r="AB17" s="209"/>
      <c r="AC17" s="209"/>
      <c r="AD17" s="209"/>
      <c r="AE17" s="209"/>
      <c r="AF17" s="209"/>
      <c r="AG17" s="209"/>
      <c r="AH17" s="210"/>
      <c r="AI17" s="209"/>
      <c r="AJ17" s="209"/>
      <c r="AK17" s="209"/>
      <c r="AL17" s="209"/>
      <c r="AM17" s="209"/>
      <c r="AN17" s="209"/>
      <c r="AO17" s="209"/>
      <c r="AP17" s="210"/>
      <c r="AQ17" s="209"/>
      <c r="AR17" s="209"/>
      <c r="AS17" s="209"/>
      <c r="AT17" s="209"/>
      <c r="AU17" s="209"/>
      <c r="AV17" s="209"/>
      <c r="AW17" s="209"/>
      <c r="AX17" s="210"/>
      <c r="AY17" s="209"/>
      <c r="AZ17" s="209"/>
      <c r="BA17" s="209"/>
      <c r="BB17" s="209"/>
      <c r="BC17" s="209"/>
      <c r="BD17" s="209"/>
      <c r="BE17" s="209"/>
      <c r="BF17" s="210"/>
      <c r="BG17" s="209"/>
      <c r="BH17" s="209"/>
      <c r="BI17" s="209"/>
      <c r="BJ17" s="209"/>
      <c r="BK17" s="209"/>
      <c r="BL17" s="209"/>
      <c r="BM17" s="209"/>
      <c r="BN17" s="210"/>
      <c r="BP17" s="627">
        <f ca="1">IF(AND($D17="Serviço",BP$12&lt;&gt;0,$H17&gt;0,OR(AUTOEVENTO&lt;&gt;"manual",$M17&lt;&gt;1)),ROUND(OFFSET($P17,0,BP$13),15-13*ORÇAMENTO!$AF$7)/$H17*OFFSET(ORÇAMENTO!$X$15,ROW(BP17)-ROW(BP$15),0),0)</f>
        <v>0</v>
      </c>
      <c r="BQ17" s="628">
        <f ca="1">IF(AND($D17="Serviço",BQ$12&lt;&gt;0,$H17&gt;0,OR(AUTOEVENTO&lt;&gt;"manual",$M17&lt;&gt;1)),ROUND(OFFSET($P17,0,BQ$13),15-13*ORÇAMENTO!$AF$7)/$H17*OFFSET(ORÇAMENTO!$X$15,ROW(BQ17)-ROW(BQ$15),0),0)</f>
        <v>0</v>
      </c>
      <c r="BR17" s="628">
        <f ca="1">IF(AND($D17="Serviço",BR$12&lt;&gt;0,$H17&gt;0,OR(AUTOEVENTO&lt;&gt;"manual",$M17&lt;&gt;1)),ROUND(OFFSET($P17,0,BR$13),15-13*ORÇAMENTO!$AF$7)/$H17*OFFSET(ORÇAMENTO!$X$15,ROW(BR17)-ROW(BR$15),0),0)</f>
        <v>0</v>
      </c>
      <c r="BS17" s="628">
        <f ca="1">IF(AND($D17="Serviço",BS$12&lt;&gt;0,$H17&gt;0,OR(AUTOEVENTO&lt;&gt;"manual",$M17&lt;&gt;1)),ROUND(OFFSET($P17,0,BS$13),15-13*ORÇAMENTO!$AF$7)/$H17*OFFSET(ORÇAMENTO!$X$15,ROW(BS17)-ROW(BS$15),0),0)</f>
        <v>0</v>
      </c>
      <c r="BT17" s="628">
        <f ca="1">IF(AND($D17="Serviço",BT$12&lt;&gt;0,$H17&gt;0,OR(AUTOEVENTO&lt;&gt;"manual",$M17&lt;&gt;1)),ROUND(OFFSET($P17,0,BT$13),15-13*ORÇAMENTO!$AF$7)/$H17*OFFSET(ORÇAMENTO!$X$15,ROW(BT17)-ROW(BT$15),0),0)</f>
        <v>0</v>
      </c>
      <c r="BU17" s="628">
        <f ca="1">IF(AND($D17="Serviço",BU$12&lt;&gt;0,$H17&gt;0,OR(AUTOEVENTO&lt;&gt;"manual",$M17&lt;&gt;1)),ROUND(OFFSET($P17,0,BU$13),15-13*ORÇAMENTO!$AF$7)/$H17*OFFSET(ORÇAMENTO!$X$15,ROW(BU17)-ROW(BU$15),0),0)</f>
        <v>0</v>
      </c>
      <c r="BV17" s="628">
        <f ca="1">IF(AND($D17="Serviço",BV$12&lt;&gt;0,$H17&gt;0,OR(AUTOEVENTO&lt;&gt;"manual",$M17&lt;&gt;1)),ROUND(OFFSET($P17,0,BV$13),15-13*ORÇAMENTO!$AF$7)/$H17*OFFSET(ORÇAMENTO!$X$15,ROW(BV17)-ROW(BV$15),0),0)</f>
        <v>0</v>
      </c>
      <c r="BW17" s="628">
        <f ca="1">IF(AND($D17="Serviço",BW$12&lt;&gt;0,$H17&gt;0,OR(AUTOEVENTO&lt;&gt;"manual",$M17&lt;&gt;1)),ROUND(OFFSET($P17,0,BW$13),15-13*ORÇAMENTO!$AF$7)/$H17*OFFSET(ORÇAMENTO!$X$15,ROW(BW17)-ROW(BW$15),0),0)</f>
        <v>0</v>
      </c>
      <c r="BX17" s="628">
        <f ca="1">IF(AND($D17="Serviço",BX$12&lt;&gt;0,$H17&gt;0,OR(AUTOEVENTO&lt;&gt;"manual",$M17&lt;&gt;1)),ROUND(OFFSET($P17,0,BX$13),15-13*ORÇAMENTO!$AF$7)/$H17*OFFSET(ORÇAMENTO!$X$15,ROW(BX17)-ROW(BX$15),0),0)</f>
        <v>0</v>
      </c>
      <c r="BY17" s="629">
        <f ca="1">IF(AND($D17="Serviço",BY$12&lt;&gt;0,$H17&gt;0,OR(AUTOEVENTO&lt;&gt;"manual",$M17&lt;&gt;1)),ROUND(OFFSET($P17,0,BY$13),15-13*ORÇAMENTO!$AF$7)/$H17*OFFSET(ORÇAMENTO!$X$15,ROW(BY17)-ROW(BY$15),0),0)</f>
        <v>0</v>
      </c>
      <c r="BZ17" s="628">
        <f ca="1">IF(AND($D17="Serviço",BZ$12&lt;&gt;0,$H17&gt;0,OR(AUTOEVENTO&lt;&gt;"manual",$M17&lt;&gt;1)),ROUND(OFFSET($P17,0,BZ$13),15-13*ORÇAMENTO!$AF$7)/$H17*OFFSET(ORÇAMENTO!$X$15,ROW(BZ17)-ROW(BZ$15),0),0)</f>
        <v>0</v>
      </c>
      <c r="CA17" s="628">
        <f ca="1">IF(AND($D17="Serviço",CA$12&lt;&gt;0,$H17&gt;0,OR(AUTOEVENTO&lt;&gt;"manual",$M17&lt;&gt;1)),ROUND(OFFSET($P17,0,CA$13),15-13*ORÇAMENTO!$AF$7)/$H17*OFFSET(ORÇAMENTO!$X$15,ROW(CA17)-ROW(CA$15),0),0)</f>
        <v>0</v>
      </c>
      <c r="CB17" s="628">
        <f ca="1">IF(AND($D17="Serviço",CB$12&lt;&gt;0,$H17&gt;0,OR(AUTOEVENTO&lt;&gt;"manual",$M17&lt;&gt;1)),ROUND(OFFSET($P17,0,CB$13),15-13*ORÇAMENTO!$AF$7)/$H17*OFFSET(ORÇAMENTO!$X$15,ROW(CB17)-ROW(CB$15),0),0)</f>
        <v>0</v>
      </c>
      <c r="CC17" s="628">
        <f ca="1">IF(AND($D17="Serviço",CC$12&lt;&gt;0,$H17&gt;0,OR(AUTOEVENTO&lt;&gt;"manual",$M17&lt;&gt;1)),ROUND(OFFSET($P17,0,CC$13),15-13*ORÇAMENTO!$AF$7)/$H17*OFFSET(ORÇAMENTO!$X$15,ROW(CC17)-ROW(CC$15),0),0)</f>
        <v>0</v>
      </c>
      <c r="CD17" s="628">
        <f ca="1">IF(AND($D17="Serviço",CD$12&lt;&gt;0,$H17&gt;0,OR(AUTOEVENTO&lt;&gt;"manual",$M17&lt;&gt;1)),ROUND(OFFSET($P17,0,CD$13),15-13*ORÇAMENTO!$AF$7)/$H17*OFFSET(ORÇAMENTO!$X$15,ROW(CD17)-ROW(CD$15),0),0)</f>
        <v>0</v>
      </c>
      <c r="CE17" s="628">
        <f ca="1">IF(AND($D17="Serviço",CE$12&lt;&gt;0,$H17&gt;0,OR(AUTOEVENTO&lt;&gt;"manual",$M17&lt;&gt;1)),ROUND(OFFSET($P17,0,CE$13),15-13*ORÇAMENTO!$AF$7)/$H17*OFFSET(ORÇAMENTO!$X$15,ROW(CE17)-ROW(CE$15),0),0)</f>
        <v>0</v>
      </c>
      <c r="CF17" s="628">
        <f ca="1">IF(AND($D17="Serviço",CF$12&lt;&gt;0,$H17&gt;0,OR(AUTOEVENTO&lt;&gt;"manual",$M17&lt;&gt;1)),ROUND(OFFSET($P17,0,CF$13),15-13*ORÇAMENTO!$AF$7)/$H17*OFFSET(ORÇAMENTO!$X$15,ROW(CF17)-ROW(CF$15),0),0)</f>
        <v>0</v>
      </c>
      <c r="CG17" s="629">
        <f ca="1">IF(AND($D17="Serviço",CG$12&lt;&gt;0,$H17&gt;0,OR(AUTOEVENTO&lt;&gt;"manual",$M17&lt;&gt;1)),ROUND(OFFSET($P17,0,CG$13),15-13*ORÇAMENTO!$AF$7)/$H17*OFFSET(ORÇAMENTO!$X$15,ROW(CG17)-ROW(CG$15),0),0)</f>
        <v>0</v>
      </c>
      <c r="CH17" s="628">
        <f ca="1">IF(AND($D17="Serviço",CH$12&lt;&gt;0,$H17&gt;0,OR(AUTOEVENTO&lt;&gt;"manual",$M17&lt;&gt;1)),ROUND(OFFSET($P17,0,CH$13),15-13*ORÇAMENTO!$AF$7)/$H17*OFFSET(ORÇAMENTO!$X$15,ROW(CH17)-ROW(CH$15),0),0)</f>
        <v>0</v>
      </c>
      <c r="CI17" s="628">
        <f ca="1">IF(AND($D17="Serviço",CI$12&lt;&gt;0,$H17&gt;0,OR(AUTOEVENTO&lt;&gt;"manual",$M17&lt;&gt;1)),ROUND(OFFSET($P17,0,CI$13),15-13*ORÇAMENTO!$AF$7)/$H17*OFFSET(ORÇAMENTO!$X$15,ROW(CI17)-ROW(CI$15),0),0)</f>
        <v>0</v>
      </c>
      <c r="CJ17" s="628">
        <f ca="1">IF(AND($D17="Serviço",CJ$12&lt;&gt;0,$H17&gt;0,OR(AUTOEVENTO&lt;&gt;"manual",$M17&lt;&gt;1)),ROUND(OFFSET($P17,0,CJ$13),15-13*ORÇAMENTO!$AF$7)/$H17*OFFSET(ORÇAMENTO!$X$15,ROW(CJ17)-ROW(CJ$15),0),0)</f>
        <v>0</v>
      </c>
      <c r="CK17" s="628">
        <f ca="1">IF(AND($D17="Serviço",CK$12&lt;&gt;0,$H17&gt;0,OR(AUTOEVENTO&lt;&gt;"manual",$M17&lt;&gt;1)),ROUND(OFFSET($P17,0,CK$13),15-13*ORÇAMENTO!$AF$7)/$H17*OFFSET(ORÇAMENTO!$X$15,ROW(CK17)-ROW(CK$15),0),0)</f>
        <v>0</v>
      </c>
      <c r="CL17" s="628">
        <f ca="1">IF(AND($D17="Serviço",CL$12&lt;&gt;0,$H17&gt;0,OR(AUTOEVENTO&lt;&gt;"manual",$M17&lt;&gt;1)),ROUND(OFFSET($P17,0,CL$13),15-13*ORÇAMENTO!$AF$7)/$H17*OFFSET(ORÇAMENTO!$X$15,ROW(CL17)-ROW(CL$15),0),0)</f>
        <v>0</v>
      </c>
      <c r="CM17" s="628">
        <f ca="1">IF(AND($D17="Serviço",CM$12&lt;&gt;0,$H17&gt;0,OR(AUTOEVENTO&lt;&gt;"manual",$M17&lt;&gt;1)),ROUND(OFFSET($P17,0,CM$13),15-13*ORÇAMENTO!$AF$7)/$H17*OFFSET(ORÇAMENTO!$X$15,ROW(CM17)-ROW(CM$15),0),0)</f>
        <v>0</v>
      </c>
      <c r="CN17" s="628">
        <f ca="1">IF(AND($D17="Serviço",CN$12&lt;&gt;0,$H17&gt;0,OR(AUTOEVENTO&lt;&gt;"manual",$M17&lt;&gt;1)),ROUND(OFFSET($P17,0,CN$13),15-13*ORÇAMENTO!$AF$7)/$H17*OFFSET(ORÇAMENTO!$X$15,ROW(CN17)-ROW(CN$15),0),0)</f>
        <v>0</v>
      </c>
      <c r="CO17" s="629">
        <f ca="1">IF(AND($D17="Serviço",CO$12&lt;&gt;0,$H17&gt;0,OR(AUTOEVENTO&lt;&gt;"manual",$M17&lt;&gt;1)),ROUND(OFFSET($P17,0,CO$13),15-13*ORÇAMENTO!$AF$7)/$H17*OFFSET(ORÇAMENTO!$X$15,ROW(CO17)-ROW(CO$15),0),0)</f>
        <v>0</v>
      </c>
      <c r="CP17" s="628">
        <f ca="1">IF(AND($D17="Serviço",CP$12&lt;&gt;0,$H17&gt;0,OR(AUTOEVENTO&lt;&gt;"manual",$M17&lt;&gt;1)),ROUND(OFFSET($P17,0,CP$13),15-13*ORÇAMENTO!$AF$7)/$H17*OFFSET(ORÇAMENTO!$X$15,ROW(CP17)-ROW(CP$15),0),0)</f>
        <v>0</v>
      </c>
      <c r="CQ17" s="628">
        <f ca="1">IF(AND($D17="Serviço",CQ$12&lt;&gt;0,$H17&gt;0,OR(AUTOEVENTO&lt;&gt;"manual",$M17&lt;&gt;1)),ROUND(OFFSET($P17,0,CQ$13),15-13*ORÇAMENTO!$AF$7)/$H17*OFFSET(ORÇAMENTO!$X$15,ROW(CQ17)-ROW(CQ$15),0),0)</f>
        <v>0</v>
      </c>
      <c r="CR17" s="628">
        <f ca="1">IF(AND($D17="Serviço",CR$12&lt;&gt;0,$H17&gt;0,OR(AUTOEVENTO&lt;&gt;"manual",$M17&lt;&gt;1)),ROUND(OFFSET($P17,0,CR$13),15-13*ORÇAMENTO!$AF$7)/$H17*OFFSET(ORÇAMENTO!$X$15,ROW(CR17)-ROW(CR$15),0),0)</f>
        <v>0</v>
      </c>
      <c r="CS17" s="628">
        <f ca="1">IF(AND($D17="Serviço",CS$12&lt;&gt;0,$H17&gt;0,OR(AUTOEVENTO&lt;&gt;"manual",$M17&lt;&gt;1)),ROUND(OFFSET($P17,0,CS$13),15-13*ORÇAMENTO!$AF$7)/$H17*OFFSET(ORÇAMENTO!$X$15,ROW(CS17)-ROW(CS$15),0),0)</f>
        <v>0</v>
      </c>
      <c r="CT17" s="628">
        <f ca="1">IF(AND($D17="Serviço",CT$12&lt;&gt;0,$H17&gt;0,OR(AUTOEVENTO&lt;&gt;"manual",$M17&lt;&gt;1)),ROUND(OFFSET($P17,0,CT$13),15-13*ORÇAMENTO!$AF$7)/$H17*OFFSET(ORÇAMENTO!$X$15,ROW(CT17)-ROW(CT$15),0),0)</f>
        <v>0</v>
      </c>
      <c r="CU17" s="628">
        <f ca="1">IF(AND($D17="Serviço",CU$12&lt;&gt;0,$H17&gt;0,OR(AUTOEVENTO&lt;&gt;"manual",$M17&lt;&gt;1)),ROUND(OFFSET($P17,0,CU$13),15-13*ORÇAMENTO!$AF$7)/$H17*OFFSET(ORÇAMENTO!$X$15,ROW(CU17)-ROW(CU$15),0),0)</f>
        <v>0</v>
      </c>
      <c r="CV17" s="628">
        <f ca="1">IF(AND($D17="Serviço",CV$12&lt;&gt;0,$H17&gt;0,OR(AUTOEVENTO&lt;&gt;"manual",$M17&lt;&gt;1)),ROUND(OFFSET($P17,0,CV$13),15-13*ORÇAMENTO!$AF$7)/$H17*OFFSET(ORÇAMENTO!$X$15,ROW(CV17)-ROW(CV$15),0),0)</f>
        <v>0</v>
      </c>
      <c r="CW17" s="629">
        <f ca="1">IF(AND($D17="Serviço",CW$12&lt;&gt;0,$H17&gt;0,OR(AUTOEVENTO&lt;&gt;"manual",$M17&lt;&gt;1)),ROUND(OFFSET($P17,0,CW$13),15-13*ORÇAMENTO!$AF$7)/$H17*OFFSET(ORÇAMENTO!$X$15,ROW(CW17)-ROW(CW$15),0),0)</f>
        <v>0</v>
      </c>
      <c r="CX17" s="628">
        <f ca="1">IF(AND($D17="Serviço",CX$12&lt;&gt;0,$H17&gt;0,OR(AUTOEVENTO&lt;&gt;"manual",$M17&lt;&gt;1)),ROUND(OFFSET($P17,0,CX$13),15-13*ORÇAMENTO!$AF$7)/$H17*OFFSET(ORÇAMENTO!$X$15,ROW(CX17)-ROW(CX$15),0),0)</f>
        <v>0</v>
      </c>
      <c r="CY17" s="628">
        <f ca="1">IF(AND($D17="Serviço",CY$12&lt;&gt;0,$H17&gt;0,OR(AUTOEVENTO&lt;&gt;"manual",$M17&lt;&gt;1)),ROUND(OFFSET($P17,0,CY$13),15-13*ORÇAMENTO!$AF$7)/$H17*OFFSET(ORÇAMENTO!$X$15,ROW(CY17)-ROW(CY$15),0),0)</f>
        <v>0</v>
      </c>
      <c r="CZ17" s="628">
        <f ca="1">IF(AND($D17="Serviço",CZ$12&lt;&gt;0,$H17&gt;0,OR(AUTOEVENTO&lt;&gt;"manual",$M17&lt;&gt;1)),ROUND(OFFSET($P17,0,CZ$13),15-13*ORÇAMENTO!$AF$7)/$H17*OFFSET(ORÇAMENTO!$X$15,ROW(CZ17)-ROW(CZ$15),0),0)</f>
        <v>0</v>
      </c>
      <c r="DA17" s="628">
        <f ca="1">IF(AND($D17="Serviço",DA$12&lt;&gt;0,$H17&gt;0,OR(AUTOEVENTO&lt;&gt;"manual",$M17&lt;&gt;1)),ROUND(OFFSET($P17,0,DA$13),15-13*ORÇAMENTO!$AF$7)/$H17*OFFSET(ORÇAMENTO!$X$15,ROW(DA17)-ROW(DA$15),0),0)</f>
        <v>0</v>
      </c>
      <c r="DB17" s="628">
        <f ca="1">IF(AND($D17="Serviço",DB$12&lt;&gt;0,$H17&gt;0,OR(AUTOEVENTO&lt;&gt;"manual",$M17&lt;&gt;1)),ROUND(OFFSET($P17,0,DB$13),15-13*ORÇAMENTO!$AF$7)/$H17*OFFSET(ORÇAMENTO!$X$15,ROW(DB17)-ROW(DB$15),0),0)</f>
        <v>0</v>
      </c>
      <c r="DC17" s="628">
        <f ca="1">IF(AND($D17="Serviço",DC$12&lt;&gt;0,$H17&gt;0,OR(AUTOEVENTO&lt;&gt;"manual",$M17&lt;&gt;1)),ROUND(OFFSET($P17,0,DC$13),15-13*ORÇAMENTO!$AF$7)/$H17*OFFSET(ORÇAMENTO!$X$15,ROW(DC17)-ROW(DC$15),0),0)</f>
        <v>0</v>
      </c>
      <c r="DD17" s="628">
        <f ca="1">IF(AND($D17="Serviço",DD$12&lt;&gt;0,$H17&gt;0,OR(AUTOEVENTO&lt;&gt;"manual",$M17&lt;&gt;1)),ROUND(OFFSET($P17,0,DD$13),15-13*ORÇAMENTO!$AF$7)/$H17*OFFSET(ORÇAMENTO!$X$15,ROW(DD17)-ROW(DD$15),0),0)</f>
        <v>0</v>
      </c>
      <c r="DE17" s="629">
        <f ca="1">IF(AND($D17="Serviço",DE$12&lt;&gt;0,$H17&gt;0,OR(AUTOEVENTO&lt;&gt;"manual",$M17&lt;&gt;1)),ROUND(OFFSET($P17,0,DE$13),15-13*ORÇAMENTO!$AF$7)/$H17*OFFSET(ORÇAMENTO!$X$15,ROW(DE17)-ROW(DE$15),0),0)</f>
        <v>0</v>
      </c>
      <c r="DF17" s="628">
        <f ca="1">IF(AND($D17="Serviço",DF$12&lt;&gt;0,$H17&gt;0,OR(AUTOEVENTO&lt;&gt;"manual",$M17&lt;&gt;1)),ROUND(OFFSET($P17,0,DF$13),15-13*ORÇAMENTO!$AF$7)/$H17*OFFSET(ORÇAMENTO!$X$15,ROW(DF17)-ROW(DF$15),0),0)</f>
        <v>0</v>
      </c>
      <c r="DG17" s="628">
        <f ca="1">IF(AND($D17="Serviço",DG$12&lt;&gt;0,$H17&gt;0,OR(AUTOEVENTO&lt;&gt;"manual",$M17&lt;&gt;1)),ROUND(OFFSET($P17,0,DG$13),15-13*ORÇAMENTO!$AF$7)/$H17*OFFSET(ORÇAMENTO!$X$15,ROW(DG17)-ROW(DG$15),0),0)</f>
        <v>0</v>
      </c>
      <c r="DH17" s="628">
        <f ca="1">IF(AND($D17="Serviço",DH$12&lt;&gt;0,$H17&gt;0,OR(AUTOEVENTO&lt;&gt;"manual",$M17&lt;&gt;1)),ROUND(OFFSET($P17,0,DH$13),15-13*ORÇAMENTO!$AF$7)/$H17*OFFSET(ORÇAMENTO!$X$15,ROW(DH17)-ROW(DH$15),0),0)</f>
        <v>0</v>
      </c>
      <c r="DI17" s="628">
        <f ca="1">IF(AND($D17="Serviço",DI$12&lt;&gt;0,$H17&gt;0,OR(AUTOEVENTO&lt;&gt;"manual",$M17&lt;&gt;1)),ROUND(OFFSET($P17,0,DI$13),15-13*ORÇAMENTO!$AF$7)/$H17*OFFSET(ORÇAMENTO!$X$15,ROW(DI17)-ROW(DI$15),0),0)</f>
        <v>0</v>
      </c>
      <c r="DJ17" s="628">
        <f ca="1">IF(AND($D17="Serviço",DJ$12&lt;&gt;0,$H17&gt;0,OR(AUTOEVENTO&lt;&gt;"manual",$M17&lt;&gt;1)),ROUND(OFFSET($P17,0,DJ$13),15-13*ORÇAMENTO!$AF$7)/$H17*OFFSET(ORÇAMENTO!$X$15,ROW(DJ17)-ROW(DJ$15),0),0)</f>
        <v>0</v>
      </c>
      <c r="DK17" s="628">
        <f ca="1">IF(AND($D17="Serviço",DK$12&lt;&gt;0,$H17&gt;0,OR(AUTOEVENTO&lt;&gt;"manual",$M17&lt;&gt;1)),ROUND(OFFSET($P17,0,DK$13),15-13*ORÇAMENTO!$AF$7)/$H17*OFFSET(ORÇAMENTO!$X$15,ROW(DK17)-ROW(DK$15),0),0)</f>
        <v>0</v>
      </c>
      <c r="DL17" s="628">
        <f ca="1">IF(AND($D17="Serviço",DL$12&lt;&gt;0,$H17&gt;0,OR(AUTOEVENTO&lt;&gt;"manual",$M17&lt;&gt;1)),ROUND(OFFSET($P17,0,DL$13),15-13*ORÇAMENTO!$AF$7)/$H17*OFFSET(ORÇAMENTO!$X$15,ROW(DL17)-ROW(DL$15),0),0)</f>
        <v>0</v>
      </c>
      <c r="DM17" s="629">
        <f ca="1">IF(AND($D17="Serviço",DM$12&lt;&gt;0,$H17&gt;0,OR(AUTOEVENTO&lt;&gt;"manual",$M17&lt;&gt;1)),ROUND(OFFSET($P17,0,DM$13),15-13*ORÇAMENTO!$AF$7)/$H17*OFFSET(ORÇAMENTO!$X$15,ROW(DM17)-ROW(DM$15),0),0)</f>
        <v>0</v>
      </c>
      <c r="DO17" s="211">
        <f ca="1">IF($D17&lt;&gt;"Serviço",0,IF(AND(AUTOEVENTO="Manual",$M17=1),0,IF(OFFSET(CRONOPLE!$F$14,$M17,DO$13)="",10^12,OFFSET(CRONOPLE!$F$14,$M17,DO$13))))</f>
        <v>0</v>
      </c>
      <c r="DP17" s="211">
        <f ca="1">IF($D17&lt;&gt;"Serviço",0,IF(AND(AUTOEVENTO="Manual",$M17=1),0,IF(OFFSET(CRONOPLE!$F$14,$M17,DP$13)="",10^12,OFFSET(CRONOPLE!$F$14,$M17,DP$13))))</f>
        <v>0</v>
      </c>
      <c r="DQ17" s="211">
        <f ca="1">IF($D17&lt;&gt;"Serviço",0,IF(AND(AUTOEVENTO="Manual",$M17=1),0,IF(OFFSET(CRONOPLE!$F$14,$M17,DQ$13)="",10^12,OFFSET(CRONOPLE!$F$14,$M17,DQ$13))))</f>
        <v>0</v>
      </c>
      <c r="DR17" s="211">
        <f ca="1">IF($D17&lt;&gt;"Serviço",0,IF(AND(AUTOEVENTO="Manual",$M17=1),0,IF(OFFSET(CRONOPLE!$F$14,$M17,DR$13)="",10^12,OFFSET(CRONOPLE!$F$14,$M17,DR$13))))</f>
        <v>0</v>
      </c>
      <c r="DS17" s="211">
        <f ca="1">IF($D17&lt;&gt;"Serviço",0,IF(AND(AUTOEVENTO="Manual",$M17=1),0,IF(OFFSET(CRONOPLE!$F$14,$M17,DS$13)="",10^12,OFFSET(CRONOPLE!$F$14,$M17,DS$13))))</f>
        <v>0</v>
      </c>
      <c r="DT17" s="211">
        <f ca="1">IF($D17&lt;&gt;"Serviço",0,IF(AND(AUTOEVENTO="Manual",$M17=1),0,IF(OFFSET(CRONOPLE!$F$14,$M17,DT$13)="",10^12,OFFSET(CRONOPLE!$F$14,$M17,DT$13))))</f>
        <v>0</v>
      </c>
      <c r="DU17" s="211">
        <f ca="1">IF($D17&lt;&gt;"Serviço",0,IF(AND(AUTOEVENTO="Manual",$M17=1),0,IF(OFFSET(CRONOPLE!$F$14,$M17,DU$13)="",10^12,OFFSET(CRONOPLE!$F$14,$M17,DU$13))))</f>
        <v>0</v>
      </c>
      <c r="DV17" s="211">
        <f ca="1">IF($D17&lt;&gt;"Serviço",0,IF(AND(AUTOEVENTO="Manual",$M17=1),0,IF(OFFSET(CRONOPLE!$F$14,$M17,DV$13)="",10^12,OFFSET(CRONOPLE!$F$14,$M17,DV$13))))</f>
        <v>0</v>
      </c>
      <c r="DW17" s="211">
        <f ca="1">IF($D17&lt;&gt;"Serviço",0,IF(AND(AUTOEVENTO="Manual",$M17=1),0,IF(OFFSET(CRONOPLE!$F$14,$M17,DW$13)="",10^12,OFFSET(CRONOPLE!$F$14,$M17,DW$13))))</f>
        <v>0</v>
      </c>
      <c r="DX17" s="211">
        <f ca="1">IF($D17&lt;&gt;"Serviço",0,IF(AND(AUTOEVENTO="Manual",$M17=1),0,IF(OFFSET(CRONOPLE!$F$14,$M17,DX$13)="",10^12,OFFSET(CRONOPLE!$F$14,$M17,DX$13))))</f>
        <v>0</v>
      </c>
      <c r="DY17" s="211">
        <f ca="1">IF($D17&lt;&gt;"Serviço",0,IF(AND(AUTOEVENTO="Manual",$M17=1),0,IF(OFFSET(CRONOPLE!$F$14,$M17,DY$13)="",10^12,OFFSET(CRONOPLE!$F$14,$M17,DY$13))))</f>
        <v>0</v>
      </c>
      <c r="DZ17" s="211">
        <f ca="1">IF($D17&lt;&gt;"Serviço",0,IF(AND(AUTOEVENTO="Manual",$M17=1),0,IF(OFFSET(CRONOPLE!$F$14,$M17,DZ$13)="",10^12,OFFSET(CRONOPLE!$F$14,$M17,DZ$13))))</f>
        <v>0</v>
      </c>
      <c r="EA17" s="211">
        <f ca="1">IF($D17&lt;&gt;"Serviço",0,IF(AND(AUTOEVENTO="Manual",$M17=1),0,IF(OFFSET(CRONOPLE!$F$14,$M17,EA$13)="",10^12,OFFSET(CRONOPLE!$F$14,$M17,EA$13))))</f>
        <v>0</v>
      </c>
      <c r="EB17" s="211">
        <f ca="1">IF($D17&lt;&gt;"Serviço",0,IF(AND(AUTOEVENTO="Manual",$M17=1),0,IF(OFFSET(CRONOPLE!$F$14,$M17,EB$13)="",10^12,OFFSET(CRONOPLE!$F$14,$M17,EB$13))))</f>
        <v>0</v>
      </c>
      <c r="EC17" s="211">
        <f ca="1">IF($D17&lt;&gt;"Serviço",0,IF(AND(AUTOEVENTO="Manual",$M17=1),0,IF(OFFSET(CRONOPLE!$F$14,$M17,EC$13)="",10^12,OFFSET(CRONOPLE!$F$14,$M17,EC$13))))</f>
        <v>0</v>
      </c>
      <c r="ED17" s="211">
        <f ca="1">IF($D17&lt;&gt;"Serviço",0,IF(AND(AUTOEVENTO="Manual",$M17=1),0,IF(OFFSET(CRONOPLE!$F$14,$M17,ED$13)="",10^12,OFFSET(CRONOPLE!$F$14,$M17,ED$13))))</f>
        <v>0</v>
      </c>
      <c r="EE17" s="211">
        <f ca="1">IF($D17&lt;&gt;"Serviço",0,IF(AND(AUTOEVENTO="Manual",$M17=1),0,IF(OFFSET(CRONOPLE!$F$14,$M17,EE$13)="",10^12,OFFSET(CRONOPLE!$F$14,$M17,EE$13))))</f>
        <v>0</v>
      </c>
      <c r="EF17" s="211">
        <f ca="1">IF($D17&lt;&gt;"Serviço",0,IF(AND(AUTOEVENTO="Manual",$M17=1),0,IF(OFFSET(CRONOPLE!$F$14,$M17,EF$13)="",10^12,OFFSET(CRONOPLE!$F$14,$M17,EF$13))))</f>
        <v>0</v>
      </c>
      <c r="EG17" s="211">
        <f ca="1">IF($D17&lt;&gt;"Serviço",0,IF(AND(AUTOEVENTO="Manual",$M17=1),0,IF(OFFSET(CRONOPLE!$F$14,$M17,EG$13)="",10^12,OFFSET(CRONOPLE!$F$14,$M17,EG$13))))</f>
        <v>0</v>
      </c>
      <c r="EH17" s="211">
        <f ca="1">IF($D17&lt;&gt;"Serviço",0,IF(AND(AUTOEVENTO="Manual",$M17=1),0,IF(OFFSET(CRONOPLE!$F$14,$M17,EH$13)="",10^12,OFFSET(CRONOPLE!$F$14,$M17,EH$13))))</f>
        <v>0</v>
      </c>
      <c r="EI17" s="211">
        <f ca="1">IF($D17&lt;&gt;"Serviço",0,IF(AND(AUTOEVENTO="Manual",$M17=1),0,IF(OFFSET(CRONOPLE!$F$14,$M17,EI$13)="",10^12,OFFSET(CRONOPLE!$F$14,$M17,EI$13))))</f>
        <v>0</v>
      </c>
      <c r="EJ17" s="211">
        <f ca="1">IF($D17&lt;&gt;"Serviço",0,IF(AND(AUTOEVENTO="Manual",$M17=1),0,IF(OFFSET(CRONOPLE!$F$14,$M17,EJ$13)="",10^12,OFFSET(CRONOPLE!$F$14,$M17,EJ$13))))</f>
        <v>0</v>
      </c>
      <c r="EK17" s="211">
        <f ca="1">IF($D17&lt;&gt;"Serviço",0,IF(AND(AUTOEVENTO="Manual",$M17=1),0,IF(OFFSET(CRONOPLE!$F$14,$M17,EK$13)="",10^12,OFFSET(CRONOPLE!$F$14,$M17,EK$13))))</f>
        <v>0</v>
      </c>
      <c r="EL17" s="211">
        <f ca="1">IF($D17&lt;&gt;"Serviço",0,IF(AND(AUTOEVENTO="Manual",$M17=1),0,IF(OFFSET(CRONOPLE!$F$14,$M17,EL$13)="",10^12,OFFSET(CRONOPLE!$F$14,$M17,EL$13))))</f>
        <v>0</v>
      </c>
      <c r="EM17" s="211">
        <f ca="1">IF($D17&lt;&gt;"Serviço",0,IF(AND(AUTOEVENTO="Manual",$M17=1),0,IF(OFFSET(CRONOPLE!$F$14,$M17,EM$13)="",10^12,OFFSET(CRONOPLE!$F$14,$M17,EM$13))))</f>
        <v>0</v>
      </c>
      <c r="EN17" s="211">
        <f ca="1">IF($D17&lt;&gt;"Serviço",0,IF(AND(AUTOEVENTO="Manual",$M17=1),0,IF(OFFSET(CRONOPLE!$F$14,$M17,EN$13)="",10^12,OFFSET(CRONOPLE!$F$14,$M17,EN$13))))</f>
        <v>0</v>
      </c>
      <c r="EO17" s="211">
        <f ca="1">IF($D17&lt;&gt;"Serviço",0,IF(AND(AUTOEVENTO="Manual",$M17=1),0,IF(OFFSET(CRONOPLE!$F$14,$M17,EO$13)="",10^12,OFFSET(CRONOPLE!$F$14,$M17,EO$13))))</f>
        <v>0</v>
      </c>
      <c r="EP17" s="211">
        <f ca="1">IF($D17&lt;&gt;"Serviço",0,IF(AND(AUTOEVENTO="Manual",$M17=1),0,IF(OFFSET(CRONOPLE!$F$14,$M17,EP$13)="",10^12,OFFSET(CRONOPLE!$F$14,$M17,EP$13))))</f>
        <v>0</v>
      </c>
      <c r="EQ17" s="211">
        <f ca="1">IF($D17&lt;&gt;"Serviço",0,IF(AND(AUTOEVENTO="Manual",$M17=1),0,IF(OFFSET(CRONOPLE!$F$14,$M17,EQ$13)="",10^12,OFFSET(CRONOPLE!$F$14,$M17,EQ$13))))</f>
        <v>0</v>
      </c>
      <c r="ER17" s="211">
        <f ca="1">IF($D17&lt;&gt;"Serviço",0,IF(AND(AUTOEVENTO="Manual",$M17=1),0,IF(OFFSET(CRONOPLE!$F$14,$M17,ER$13)="",10^12,OFFSET(CRONOPLE!$F$14,$M17,ER$13))))</f>
        <v>0</v>
      </c>
      <c r="ES17" s="211">
        <f ca="1">IF($D17&lt;&gt;"Serviço",0,IF(AND(AUTOEVENTO="Manual",$M17=1),0,IF(OFFSET(CRONOPLE!$F$14,$M17,ES$13)="",10^12,OFFSET(CRONOPLE!$F$14,$M17,ES$13))))</f>
        <v>0</v>
      </c>
      <c r="ET17" s="211">
        <f ca="1">IF($D17&lt;&gt;"Serviço",0,IF(AND(AUTOEVENTO="Manual",$M17=1),0,IF(OFFSET(CRONOPLE!$F$14,$M17,ET$13)="",10^12,OFFSET(CRONOPLE!$F$14,$M17,ET$13))))</f>
        <v>0</v>
      </c>
      <c r="EU17" s="211">
        <f ca="1">IF($D17&lt;&gt;"Serviço",0,IF(AND(AUTOEVENTO="Manual",$M17=1),0,IF(OFFSET(CRONOPLE!$F$14,$M17,EU$13)="",10^12,OFFSET(CRONOPLE!$F$14,$M17,EU$13))))</f>
        <v>0</v>
      </c>
      <c r="EV17" s="211">
        <f ca="1">IF($D17&lt;&gt;"Serviço",0,IF(AND(AUTOEVENTO="Manual",$M17=1),0,IF(OFFSET(CRONOPLE!$F$14,$M17,EV$13)="",10^12,OFFSET(CRONOPLE!$F$14,$M17,EV$13))))</f>
        <v>0</v>
      </c>
      <c r="EW17" s="211">
        <f ca="1">IF($D17&lt;&gt;"Serviço",0,IF(AND(AUTOEVENTO="Manual",$M17=1),0,IF(OFFSET(CRONOPLE!$F$14,$M17,EW$13)="",10^12,OFFSET(CRONOPLE!$F$14,$M17,EW$13))))</f>
        <v>0</v>
      </c>
      <c r="EX17" s="211">
        <f ca="1">IF($D17&lt;&gt;"Serviço",0,IF(AND(AUTOEVENTO="Manual",$M17=1),0,IF(OFFSET(CRONOPLE!$F$14,$M17,EX$13)="",10^12,OFFSET(CRONOPLE!$F$14,$M17,EX$13))))</f>
        <v>0</v>
      </c>
      <c r="EY17" s="211">
        <f ca="1">IF($D17&lt;&gt;"Serviço",0,IF(AND(AUTOEVENTO="Manual",$M17=1),0,IF(OFFSET(CRONOPLE!$F$14,$M17,EY$13)="",10^12,OFFSET(CRONOPLE!$F$14,$M17,EY$13))))</f>
        <v>0</v>
      </c>
      <c r="EZ17" s="211">
        <f ca="1">IF($D17&lt;&gt;"Serviço",0,IF(AND(AUTOEVENTO="Manual",$M17=1),0,IF(OFFSET(CRONOPLE!$F$14,$M17,EZ$13)="",10^12,OFFSET(CRONOPLE!$F$14,$M17,EZ$13))))</f>
        <v>0</v>
      </c>
      <c r="FA17" s="211">
        <f ca="1">IF($D17&lt;&gt;"Serviço",0,IF(AND(AUTOEVENTO="Manual",$M17=1),0,IF(OFFSET(CRONOPLE!$F$14,$M17,FA$13)="",10^12,OFFSET(CRONOPLE!$F$14,$M17,FA$13))))</f>
        <v>0</v>
      </c>
      <c r="FB17" s="211">
        <f ca="1">IF($D17&lt;&gt;"Serviço",0,IF(AND(AUTOEVENTO="Manual",$M17=1),0,IF(OFFSET(CRONOPLE!$F$14,$M17,FB$13)="",10^12,OFFSET(CRONOPLE!$F$14,$M17,FB$13))))</f>
        <v>0</v>
      </c>
      <c r="FC17" s="211">
        <f ca="1">IF($D17&lt;&gt;"Serviço",0,IF(AND(AUTOEVENTO="Manual",$M17=1),0,IF(OFFSET(CRONOPLE!$F$14,$M17,FC$13)="",10^12,OFFSET(CRONOPLE!$F$14,$M17,FC$13))))</f>
        <v>0</v>
      </c>
      <c r="FD17" s="211">
        <f ca="1">IF($D17&lt;&gt;"Serviço",0,IF(AND(AUTOEVENTO="Manual",$M17=1),0,IF(OFFSET(CRONOPLE!$F$14,$M17,FD$13)="",10^12,OFFSET(CRONOPLE!$F$14,$M17,FD$13))))</f>
        <v>0</v>
      </c>
      <c r="FE17" s="211">
        <f ca="1">IF($D17&lt;&gt;"Serviço",0,IF(AND(AUTOEVENTO="Manual",$M17=1),0,IF(OFFSET(CRONOPLE!$F$14,$M17,FE$13)="",10^12,OFFSET(CRONOPLE!$F$14,$M17,FE$13))))</f>
        <v>0</v>
      </c>
      <c r="FF17" s="211">
        <f ca="1">IF($D17&lt;&gt;"Serviço",0,IF(AND(AUTOEVENTO="Manual",$M17=1),0,IF(OFFSET(CRONOPLE!$F$14,$M17,FF$13)="",10^12,OFFSET(CRONOPLE!$F$14,$M17,FF$13))))</f>
        <v>0</v>
      </c>
      <c r="FG17" s="211">
        <f ca="1">IF($D17&lt;&gt;"Serviço",0,IF(AND(AUTOEVENTO="Manual",$M17=1),0,IF(OFFSET(CRONOPLE!$F$14,$M17,FG$13)="",10^12,OFFSET(CRONOPLE!$F$14,$M17,FG$13))))</f>
        <v>0</v>
      </c>
      <c r="FH17" s="211">
        <f ca="1">IF($D17&lt;&gt;"Serviço",0,IF(AND(AUTOEVENTO="Manual",$M17=1),0,IF(OFFSET(CRONOPLE!$F$14,$M17,FH$13)="",10^12,OFFSET(CRONOPLE!$F$14,$M17,FH$13))))</f>
        <v>0</v>
      </c>
      <c r="FI17" s="211">
        <f ca="1">IF($D17&lt;&gt;"Serviço",0,IF(AND(AUTOEVENTO="Manual",$M17=1),0,IF(OFFSET(CRONOPLE!$F$14,$M17,FI$13)="",10^12,OFFSET(CRONOPLE!$F$14,$M17,FI$13))))</f>
        <v>0</v>
      </c>
      <c r="FJ17" s="211">
        <f ca="1">IF($D17&lt;&gt;"Serviço",0,IF(AND(AUTOEVENTO="Manual",$M17=1),0,IF(OFFSET(CRONOPLE!$F$14,$M17,FJ$13)="",10^12,OFFSET(CRONOPLE!$F$14,$M17,FJ$13))))</f>
        <v>0</v>
      </c>
      <c r="FK17" s="211">
        <f ca="1">IF($D17&lt;&gt;"Serviço",0,IF(AND(AUTOEVENTO="Manual",$M17=1),0,IF(OFFSET(CRONOPLE!$F$14,$M17,FK$13)="",10^12,OFFSET(CRONOPLE!$F$14,$M17,FK$13))))</f>
        <v>0</v>
      </c>
      <c r="FL17" s="211">
        <f ca="1">IF($D17&lt;&gt;"Serviço",0,IF(AND(AUTOEVENTO="Manual",$M17=1),0,IF(OFFSET(CRONOPLE!$F$14,$M17,FL$13)="",10^12,OFFSET(CRONOPLE!$F$14,$M17,FL$13))))</f>
        <v>0</v>
      </c>
      <c r="FN17" s="212">
        <f ca="1">IF($D17&lt;&gt;"Serviço",0,IF(OR(AND(AUTOEVENTO="Manual",$M17=1),$M17&gt;(ROW(PLE.lastrow)-ROW(PLE.firstrow))),0,IF(OFFSET(PLE!$G$14,$M17,FN$13)="",10^12,OFFSET(PLE!$G$14,$M17,FN$13))))</f>
        <v>0</v>
      </c>
      <c r="FO17" s="212">
        <f ca="1">IF($D17&lt;&gt;"Serviço",0,IF(OR(AND(AUTOEVENTO="Manual",$M17=1),$M17&gt;(ROW(PLE.lastrow)-ROW(PLE.firstrow))),0,IF(OFFSET(PLE!$G$14,$M17,FO$13)="",10^12,OFFSET(PLE!$G$14,$M17,FO$13))))</f>
        <v>0</v>
      </c>
      <c r="FP17" s="212">
        <f ca="1">IF($D17&lt;&gt;"Serviço",0,IF(OR(AND(AUTOEVENTO="Manual",$M17=1),$M17&gt;(ROW(PLE.lastrow)-ROW(PLE.firstrow))),0,IF(OFFSET(PLE!$G$14,$M17,FP$13)="",10^12,OFFSET(PLE!$G$14,$M17,FP$13))))</f>
        <v>0</v>
      </c>
      <c r="FQ17" s="212">
        <f ca="1">IF($D17&lt;&gt;"Serviço",0,IF(OR(AND(AUTOEVENTO="Manual",$M17=1),$M17&gt;(ROW(PLE.lastrow)-ROW(PLE.firstrow))),0,IF(OFFSET(PLE!$G$14,$M17,FQ$13)="",10^12,OFFSET(PLE!$G$14,$M17,FQ$13))))</f>
        <v>0</v>
      </c>
      <c r="FR17" s="212">
        <f ca="1">IF($D17&lt;&gt;"Serviço",0,IF(OR(AND(AUTOEVENTO="Manual",$M17=1),$M17&gt;(ROW(PLE.lastrow)-ROW(PLE.firstrow))),0,IF(OFFSET(PLE!$G$14,$M17,FR$13)="",10^12,OFFSET(PLE!$G$14,$M17,FR$13))))</f>
        <v>0</v>
      </c>
      <c r="FS17" s="212">
        <f ca="1">IF($D17&lt;&gt;"Serviço",0,IF(OR(AND(AUTOEVENTO="Manual",$M17=1),$M17&gt;(ROW(PLE.lastrow)-ROW(PLE.firstrow))),0,IF(OFFSET(PLE!$G$14,$M17,FS$13)="",10^12,OFFSET(PLE!$G$14,$M17,FS$13))))</f>
        <v>0</v>
      </c>
      <c r="FT17" s="212">
        <f ca="1">IF($D17&lt;&gt;"Serviço",0,IF(OR(AND(AUTOEVENTO="Manual",$M17=1),$M17&gt;(ROW(PLE.lastrow)-ROW(PLE.firstrow))),0,IF(OFFSET(PLE!$G$14,$M17,FT$13)="",10^12,OFFSET(PLE!$G$14,$M17,FT$13))))</f>
        <v>0</v>
      </c>
      <c r="FU17" s="212">
        <f ca="1">IF($D17&lt;&gt;"Serviço",0,IF(OR(AND(AUTOEVENTO="Manual",$M17=1),$M17&gt;(ROW(PLE.lastrow)-ROW(PLE.firstrow))),0,IF(OFFSET(PLE!$G$14,$M17,FU$13)="",10^12,OFFSET(PLE!$G$14,$M17,FU$13))))</f>
        <v>0</v>
      </c>
      <c r="FV17" s="212">
        <f ca="1">IF($D17&lt;&gt;"Serviço",0,IF(OR(AND(AUTOEVENTO="Manual",$M17=1),$M17&gt;(ROW(PLE.lastrow)-ROW(PLE.firstrow))),0,IF(OFFSET(PLE!$G$14,$M17,FV$13)="",10^12,OFFSET(PLE!$G$14,$M17,FV$13))))</f>
        <v>0</v>
      </c>
      <c r="FW17" s="212">
        <f ca="1">IF($D17&lt;&gt;"Serviço",0,IF(OR(AND(AUTOEVENTO="Manual",$M17=1),$M17&gt;(ROW(PLE.lastrow)-ROW(PLE.firstrow))),0,IF(OFFSET(PLE!$G$14,$M17,FW$13)="",10^12,OFFSET(PLE!$G$14,$M17,FW$13))))</f>
        <v>0</v>
      </c>
      <c r="FX17" s="212">
        <f ca="1">IF($D17&lt;&gt;"Serviço",0,IF(OR(AND(AUTOEVENTO="Manual",$M17=1),$M17&gt;(ROW(PLE.lastrow)-ROW(PLE.firstrow))),0,IF(OFFSET(PLE!$G$14,$M17,FX$13)="",10^12,OFFSET(PLE!$G$14,$M17,FX$13))))</f>
        <v>0</v>
      </c>
      <c r="FY17" s="212">
        <f ca="1">IF($D17&lt;&gt;"Serviço",0,IF(OR(AND(AUTOEVENTO="Manual",$M17=1),$M17&gt;(ROW(PLE.lastrow)-ROW(PLE.firstrow))),0,IF(OFFSET(PLE!$G$14,$M17,FY$13)="",10^12,OFFSET(PLE!$G$14,$M17,FY$13))))</f>
        <v>0</v>
      </c>
      <c r="FZ17" s="212">
        <f ca="1">IF($D17&lt;&gt;"Serviço",0,IF(OR(AND(AUTOEVENTO="Manual",$M17=1),$M17&gt;(ROW(PLE.lastrow)-ROW(PLE.firstrow))),0,IF(OFFSET(PLE!$G$14,$M17,FZ$13)="",10^12,OFFSET(PLE!$G$14,$M17,FZ$13))))</f>
        <v>0</v>
      </c>
      <c r="GA17" s="212">
        <f ca="1">IF($D17&lt;&gt;"Serviço",0,IF(OR(AND(AUTOEVENTO="Manual",$M17=1),$M17&gt;(ROW(PLE.lastrow)-ROW(PLE.firstrow))),0,IF(OFFSET(PLE!$G$14,$M17,GA$13)="",10^12,OFFSET(PLE!$G$14,$M17,GA$13))))</f>
        <v>0</v>
      </c>
      <c r="GB17" s="212">
        <f ca="1">IF($D17&lt;&gt;"Serviço",0,IF(OR(AND(AUTOEVENTO="Manual",$M17=1),$M17&gt;(ROW(PLE.lastrow)-ROW(PLE.firstrow))),0,IF(OFFSET(PLE!$G$14,$M17,GB$13)="",10^12,OFFSET(PLE!$G$14,$M17,GB$13))))</f>
        <v>0</v>
      </c>
      <c r="GC17" s="212">
        <f ca="1">IF($D17&lt;&gt;"Serviço",0,IF(OR(AND(AUTOEVENTO="Manual",$M17=1),$M17&gt;(ROW(PLE.lastrow)-ROW(PLE.firstrow))),0,IF(OFFSET(PLE!$G$14,$M17,GC$13)="",10^12,OFFSET(PLE!$G$14,$M17,GC$13))))</f>
        <v>0</v>
      </c>
      <c r="GD17" s="212">
        <f ca="1">IF($D17&lt;&gt;"Serviço",0,IF(OR(AND(AUTOEVENTO="Manual",$M17=1),$M17&gt;(ROW(PLE.lastrow)-ROW(PLE.firstrow))),0,IF(OFFSET(PLE!$G$14,$M17,GD$13)="",10^12,OFFSET(PLE!$G$14,$M17,GD$13))))</f>
        <v>0</v>
      </c>
      <c r="GE17" s="212">
        <f ca="1">IF($D17&lt;&gt;"Serviço",0,IF(OR(AND(AUTOEVENTO="Manual",$M17=1),$M17&gt;(ROW(PLE.lastrow)-ROW(PLE.firstrow))),0,IF(OFFSET(PLE!$G$14,$M17,GE$13)="",10^12,OFFSET(PLE!$G$14,$M17,GE$13))))</f>
        <v>0</v>
      </c>
      <c r="GF17" s="212">
        <f ca="1">IF($D17&lt;&gt;"Serviço",0,IF(OR(AND(AUTOEVENTO="Manual",$M17=1),$M17&gt;(ROW(PLE.lastrow)-ROW(PLE.firstrow))),0,IF(OFFSET(PLE!$G$14,$M17,GF$13)="",10^12,OFFSET(PLE!$G$14,$M17,GF$13))))</f>
        <v>0</v>
      </c>
      <c r="GG17" s="212">
        <f ca="1">IF($D17&lt;&gt;"Serviço",0,IF(OR(AND(AUTOEVENTO="Manual",$M17=1),$M17&gt;(ROW(PLE.lastrow)-ROW(PLE.firstrow))),0,IF(OFFSET(PLE!$G$14,$M17,GG$13)="",10^12,OFFSET(PLE!$G$14,$M17,GG$13))))</f>
        <v>0</v>
      </c>
      <c r="GH17" s="212">
        <f ca="1">IF($D17&lt;&gt;"Serviço",0,IF(OR(AND(AUTOEVENTO="Manual",$M17=1),$M17&gt;(ROW(PLE.lastrow)-ROW(PLE.firstrow))),0,IF(OFFSET(PLE!$G$14,$M17,GH$13)="",10^12,OFFSET(PLE!$G$14,$M17,GH$13))))</f>
        <v>0</v>
      </c>
      <c r="GI17" s="212">
        <f ca="1">IF($D17&lt;&gt;"Serviço",0,IF(OR(AND(AUTOEVENTO="Manual",$M17=1),$M17&gt;(ROW(PLE.lastrow)-ROW(PLE.firstrow))),0,IF(OFFSET(PLE!$G$14,$M17,GI$13)="",10^12,OFFSET(PLE!$G$14,$M17,GI$13))))</f>
        <v>0</v>
      </c>
      <c r="GJ17" s="212">
        <f ca="1">IF($D17&lt;&gt;"Serviço",0,IF(OR(AND(AUTOEVENTO="Manual",$M17=1),$M17&gt;(ROW(PLE.lastrow)-ROW(PLE.firstrow))),0,IF(OFFSET(PLE!$G$14,$M17,GJ$13)="",10^12,OFFSET(PLE!$G$14,$M17,GJ$13))))</f>
        <v>0</v>
      </c>
      <c r="GK17" s="212">
        <f ca="1">IF($D17&lt;&gt;"Serviço",0,IF(OR(AND(AUTOEVENTO="Manual",$M17=1),$M17&gt;(ROW(PLE.lastrow)-ROW(PLE.firstrow))),0,IF(OFFSET(PLE!$G$14,$M17,GK$13)="",10^12,OFFSET(PLE!$G$14,$M17,GK$13))))</f>
        <v>0</v>
      </c>
      <c r="GL17" s="212">
        <f ca="1">IF($D17&lt;&gt;"Serviço",0,IF(OR(AND(AUTOEVENTO="Manual",$M17=1),$M17&gt;(ROW(PLE.lastrow)-ROW(PLE.firstrow))),0,IF(OFFSET(PLE!$G$14,$M17,GL$13)="",10^12,OFFSET(PLE!$G$14,$M17,GL$13))))</f>
        <v>0</v>
      </c>
      <c r="GM17" s="212">
        <f ca="1">IF($D17&lt;&gt;"Serviço",0,IF(OR(AND(AUTOEVENTO="Manual",$M17=1),$M17&gt;(ROW(PLE.lastrow)-ROW(PLE.firstrow))),0,IF(OFFSET(PLE!$G$14,$M17,GM$13)="",10^12,OFFSET(PLE!$G$14,$M17,GM$13))))</f>
        <v>0</v>
      </c>
      <c r="GN17" s="212">
        <f ca="1">IF($D17&lt;&gt;"Serviço",0,IF(OR(AND(AUTOEVENTO="Manual",$M17=1),$M17&gt;(ROW(PLE.lastrow)-ROW(PLE.firstrow))),0,IF(OFFSET(PLE!$G$14,$M17,GN$13)="",10^12,OFFSET(PLE!$G$14,$M17,GN$13))))</f>
        <v>0</v>
      </c>
      <c r="GO17" s="212">
        <f ca="1">IF($D17&lt;&gt;"Serviço",0,IF(OR(AND(AUTOEVENTO="Manual",$M17=1),$M17&gt;(ROW(PLE.lastrow)-ROW(PLE.firstrow))),0,IF(OFFSET(PLE!$G$14,$M17,GO$13)="",10^12,OFFSET(PLE!$G$14,$M17,GO$13))))</f>
        <v>0</v>
      </c>
      <c r="GP17" s="212">
        <f ca="1">IF($D17&lt;&gt;"Serviço",0,IF(OR(AND(AUTOEVENTO="Manual",$M17=1),$M17&gt;(ROW(PLE.lastrow)-ROW(PLE.firstrow))),0,IF(OFFSET(PLE!$G$14,$M17,GP$13)="",10^12,OFFSET(PLE!$G$14,$M17,GP$13))))</f>
        <v>0</v>
      </c>
      <c r="GQ17" s="212">
        <f ca="1">IF($D17&lt;&gt;"Serviço",0,IF(OR(AND(AUTOEVENTO="Manual",$M17=1),$M17&gt;(ROW(PLE.lastrow)-ROW(PLE.firstrow))),0,IF(OFFSET(PLE!$G$14,$M17,GQ$13)="",10^12,OFFSET(PLE!$G$14,$M17,GQ$13))))</f>
        <v>0</v>
      </c>
      <c r="GR17" s="212">
        <f ca="1">IF($D17&lt;&gt;"Serviço",0,IF(OR(AND(AUTOEVENTO="Manual",$M17=1),$M17&gt;(ROW(PLE.lastrow)-ROW(PLE.firstrow))),0,IF(OFFSET(PLE!$G$14,$M17,GR$13)="",10^12,OFFSET(PLE!$G$14,$M17,GR$13))))</f>
        <v>0</v>
      </c>
      <c r="GS17" s="212">
        <f ca="1">IF($D17&lt;&gt;"Serviço",0,IF(OR(AND(AUTOEVENTO="Manual",$M17=1),$M17&gt;(ROW(PLE.lastrow)-ROW(PLE.firstrow))),0,IF(OFFSET(PLE!$G$14,$M17,GS$13)="",10^12,OFFSET(PLE!$G$14,$M17,GS$13))))</f>
        <v>0</v>
      </c>
      <c r="GT17" s="212">
        <f ca="1">IF($D17&lt;&gt;"Serviço",0,IF(OR(AND(AUTOEVENTO="Manual",$M17=1),$M17&gt;(ROW(PLE.lastrow)-ROW(PLE.firstrow))),0,IF(OFFSET(PLE!$G$14,$M17,GT$13)="",10^12,OFFSET(PLE!$G$14,$M17,GT$13))))</f>
        <v>0</v>
      </c>
      <c r="GU17" s="212">
        <f ca="1">IF($D17&lt;&gt;"Serviço",0,IF(OR(AND(AUTOEVENTO="Manual",$M17=1),$M17&gt;(ROW(PLE.lastrow)-ROW(PLE.firstrow))),0,IF(OFFSET(PLE!$G$14,$M17,GU$13)="",10^12,OFFSET(PLE!$G$14,$M17,GU$13))))</f>
        <v>0</v>
      </c>
      <c r="GV17" s="212">
        <f ca="1">IF($D17&lt;&gt;"Serviço",0,IF(OR(AND(AUTOEVENTO="Manual",$M17=1),$M17&gt;(ROW(PLE.lastrow)-ROW(PLE.firstrow))),0,IF(OFFSET(PLE!$G$14,$M17,GV$13)="",10^12,OFFSET(PLE!$G$14,$M17,GV$13))))</f>
        <v>0</v>
      </c>
      <c r="GW17" s="212">
        <f ca="1">IF($D17&lt;&gt;"Serviço",0,IF(OR(AND(AUTOEVENTO="Manual",$M17=1),$M17&gt;(ROW(PLE.lastrow)-ROW(PLE.firstrow))),0,IF(OFFSET(PLE!$G$14,$M17,GW$13)="",10^12,OFFSET(PLE!$G$14,$M17,GW$13))))</f>
        <v>0</v>
      </c>
      <c r="GX17" s="212">
        <f ca="1">IF($D17&lt;&gt;"Serviço",0,IF(OR(AND(AUTOEVENTO="Manual",$M17=1),$M17&gt;(ROW(PLE.lastrow)-ROW(PLE.firstrow))),0,IF(OFFSET(PLE!$G$14,$M17,GX$13)="",10^12,OFFSET(PLE!$G$14,$M17,GX$13))))</f>
        <v>0</v>
      </c>
      <c r="GY17" s="212">
        <f ca="1">IF($D17&lt;&gt;"Serviço",0,IF(OR(AND(AUTOEVENTO="Manual",$M17=1),$M17&gt;(ROW(PLE.lastrow)-ROW(PLE.firstrow))),0,IF(OFFSET(PLE!$G$14,$M17,GY$13)="",10^12,OFFSET(PLE!$G$14,$M17,GY$13))))</f>
        <v>0</v>
      </c>
      <c r="GZ17" s="212">
        <f ca="1">IF($D17&lt;&gt;"Serviço",0,IF(OR(AND(AUTOEVENTO="Manual",$M17=1),$M17&gt;(ROW(PLE.lastrow)-ROW(PLE.firstrow))),0,IF(OFFSET(PLE!$G$14,$M17,GZ$13)="",10^12,OFFSET(PLE!$G$14,$M17,GZ$13))))</f>
        <v>0</v>
      </c>
      <c r="HA17" s="212">
        <f ca="1">IF($D17&lt;&gt;"Serviço",0,IF(OR(AND(AUTOEVENTO="Manual",$M17=1),$M17&gt;(ROW(PLE.lastrow)-ROW(PLE.firstrow))),0,IF(OFFSET(PLE!$G$14,$M17,HA$13)="",10^12,OFFSET(PLE!$G$14,$M17,HA$13))))</f>
        <v>0</v>
      </c>
      <c r="HB17" s="212">
        <f ca="1">IF($D17&lt;&gt;"Serviço",0,IF(OR(AND(AUTOEVENTO="Manual",$M17=1),$M17&gt;(ROW(PLE.lastrow)-ROW(PLE.firstrow))),0,IF(OFFSET(PLE!$G$14,$M17,HB$13)="",10^12,OFFSET(PLE!$G$14,$M17,HB$13))))</f>
        <v>0</v>
      </c>
      <c r="HC17" s="212">
        <f ca="1">IF($D17&lt;&gt;"Serviço",0,IF(OR(AND(AUTOEVENTO="Manual",$M17=1),$M17&gt;(ROW(PLE.lastrow)-ROW(PLE.firstrow))),0,IF(OFFSET(PLE!$G$14,$M17,HC$13)="",10^12,OFFSET(PLE!$G$14,$M17,HC$13))))</f>
        <v>0</v>
      </c>
      <c r="HD17" s="212">
        <f ca="1">IF($D17&lt;&gt;"Serviço",0,IF(OR(AND(AUTOEVENTO="Manual",$M17=1),$M17&gt;(ROW(PLE.lastrow)-ROW(PLE.firstrow))),0,IF(OFFSET(PLE!$G$14,$M17,HD$13)="",10^12,OFFSET(PLE!$G$14,$M17,HD$13))))</f>
        <v>0</v>
      </c>
      <c r="HE17" s="212">
        <f ca="1">IF($D17&lt;&gt;"Serviço",0,IF(OR(AND(AUTOEVENTO="Manual",$M17=1),$M17&gt;(ROW(PLE.lastrow)-ROW(PLE.firstrow))),0,IF(OFFSET(PLE!$G$14,$M17,HE$13)="",10^12,OFFSET(PLE!$G$14,$M17,HE$13))))</f>
        <v>0</v>
      </c>
      <c r="HF17" s="212">
        <f ca="1">IF($D17&lt;&gt;"Serviço",0,IF(OR(AND(AUTOEVENTO="Manual",$M17=1),$M17&gt;(ROW(PLE.lastrow)-ROW(PLE.firstrow))),0,IF(OFFSET(PLE!$G$14,$M17,HF$13)="",10^12,OFFSET(PLE!$G$14,$M17,HF$13))))</f>
        <v>0</v>
      </c>
      <c r="HG17" s="212">
        <f ca="1">IF($D17&lt;&gt;"Serviço",0,IF(OR(AND(AUTOEVENTO="Manual",$M17=1),$M17&gt;(ROW(PLE.lastrow)-ROW(PLE.firstrow))),0,IF(OFFSET(PLE!$G$14,$M17,HG$13)="",10^12,OFFSET(PLE!$G$14,$M17,HG$13))))</f>
        <v>0</v>
      </c>
      <c r="HH17" s="212">
        <f ca="1">IF($D17&lt;&gt;"Serviço",0,IF(OR(AND(AUTOEVENTO="Manual",$M17=1),$M17&gt;(ROW(PLE.lastrow)-ROW(PLE.firstrow))),0,IF(OFFSET(PLE!$G$14,$M17,HH$13)="",10^12,OFFSET(PLE!$G$14,$M17,HH$13))))</f>
        <v>0</v>
      </c>
      <c r="HI17" s="212">
        <f ca="1">IF($D17&lt;&gt;"Serviço",0,IF(OR(AND(AUTOEVENTO="Manual",$M17=1),$M17&gt;(ROW(PLE.lastrow)-ROW(PLE.firstrow))),0,IF(OFFSET(PLE!$G$14,$M17,HI$13)="",10^12,OFFSET(PLE!$G$14,$M17,HI$13))))</f>
        <v>0</v>
      </c>
      <c r="HJ17" s="212">
        <f ca="1">IF($D17&lt;&gt;"Serviço",0,IF(OR(AND(AUTOEVENTO="Manual",$M17=1),$M17&gt;(ROW(PLE.lastrow)-ROW(PLE.firstrow))),0,IF(OFFSET(PLE!$G$14,$M17,HJ$13)="",10^12,OFFSET(PLE!$G$14,$M17,HJ$13))))</f>
        <v>0</v>
      </c>
      <c r="HK17" s="212">
        <f ca="1">IF($D17&lt;&gt;"Serviço",0,IF(OR(AND(AUTOEVENTO="Manual",$M17=1),$M17&gt;(ROW(PLE.lastrow)-ROW(PLE.firstrow))),0,IF(OFFSET(PLE!$G$14,$M17,HK$13)="",10^12,OFFSET(PLE!$G$14,$M17,HK$13))))</f>
        <v>0</v>
      </c>
    </row>
    <row r="18" spans="1:219" ht="25.5" x14ac:dyDescent="0.2">
      <c r="A18" s="9" t="str">
        <f t="shared" ca="1" si="9"/>
        <v>2</v>
      </c>
      <c r="B18" s="9" t="str">
        <f ca="1">OFFSET(ORÇAMENTO!C$15,ROW(B18)-ROW(B$15),0)</f>
        <v>S</v>
      </c>
      <c r="C18" s="9" t="str">
        <f ca="1">OFFSET(ORÇAMENTO!L$15,ROW(C18)-ROW(C$15),0)</f>
        <v>F</v>
      </c>
      <c r="D18" s="141" t="str">
        <f ca="1">OFFSET(ORÇAMENTO!N$15,ROW(D18)-ROW(D$15),0)</f>
        <v>Serviço</v>
      </c>
      <c r="E18" s="201" t="str">
        <f ca="1">OFFSET(ORÇAMENTO!O$15,ROW(E18)-ROW(E$15),0)</f>
        <v>1.1.1.</v>
      </c>
      <c r="F18" s="202" t="str">
        <f ca="1">OFFSET(ORÇAMENTO!R$15,ROW(F18)-ROW(F$15),0)</f>
        <v>(abra o arquivo 'Referência 11-2023.xls)</v>
      </c>
      <c r="G18" s="203" t="str">
        <f ca="1">IF($D18&lt;&gt;"Serviço","",OFFSET(ORÇAMENTO!S$15,ROW(G18)-ROW(G$15),0))</f>
        <v>-</v>
      </c>
      <c r="H18" s="147">
        <f ca="1">IF($D18&lt;&gt;"Serviço",0,IF(ACOMPANHAMENTO="BM",ROUND(OFFSET(ORÇAMENTO!AJ$15,ROW(H18)-ROW(H$15),0),15-13*ORÇAMENTO!$AF$7),SUMPRODUCT(($Q$12:$BO$12&lt;&gt;"")*ROUND($Q18:$BO18,15-13*ORÇAMENTO!$AF$7))))</f>
        <v>4.5</v>
      </c>
      <c r="I18" s="646" t="s">
        <v>450</v>
      </c>
      <c r="K18" s="204" t="s">
        <v>444</v>
      </c>
      <c r="L18" s="205" t="s">
        <v>257</v>
      </c>
      <c r="M18" s="206">
        <f ca="1">IF($D18&lt;&gt;"Serviço","",IF(AUTOEVENTO="manual",$A18,IF(ISERROR(MATCH($A18,$A$15:OFFSET($A18,-1,0),0)),MAX($M$15:OFFSET(M18,-1,0))+1,INDEX($M$15:OFFSET(M18,-1,0),MATCH($A18,$A$15:OFFSET($A18,-1,0),0)))))</f>
        <v>2</v>
      </c>
      <c r="N18" s="207" t="str">
        <f ca="1">IF($D18&lt;&gt;"Serviço","",IF(AUTOEVENTO="Manual",IF($A18=0,"&lt;-- defina o número do agrupador",OFFSET(EVENTOS!$D$14,$A18,0)),OFFSET($F$15,$A18,0)))</f>
        <v>SERVIÇOS PRELIMINARES</v>
      </c>
      <c r="O18" s="208"/>
      <c r="Q18" s="209">
        <f>1.5*3</f>
        <v>4.5</v>
      </c>
      <c r="R18" s="209"/>
      <c r="S18" s="209"/>
      <c r="T18" s="210"/>
      <c r="U18" s="209"/>
      <c r="V18" s="209"/>
      <c r="W18" s="209"/>
      <c r="X18" s="209"/>
      <c r="Y18" s="209"/>
      <c r="Z18" s="209"/>
      <c r="AA18" s="209"/>
      <c r="AB18" s="210"/>
      <c r="AC18" s="209"/>
      <c r="AD18" s="209"/>
      <c r="AE18" s="209"/>
      <c r="AF18" s="209"/>
      <c r="AG18" s="209"/>
      <c r="AH18" s="209"/>
      <c r="AI18" s="209"/>
      <c r="AJ18" s="210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10"/>
      <c r="BG18" s="209"/>
      <c r="BH18" s="209"/>
      <c r="BI18" s="209"/>
      <c r="BJ18" s="209"/>
      <c r="BK18" s="209"/>
      <c r="BL18" s="209"/>
      <c r="BM18" s="209"/>
      <c r="BN18" s="210"/>
      <c r="BP18" s="627">
        <f ca="1">IF(AND($D18="Serviço",BP$12&lt;&gt;0,$H18&gt;0,OR(AUTOEVENTO&lt;&gt;"manual",$M18&lt;&gt;1)),ROUND(OFFSET($P18,0,BP$13),15-13*ORÇAMENTO!$AF$7)/$H18*OFFSET(ORÇAMENTO!$X$15,ROW(BP18)-ROW(BP$15),0),0)</f>
        <v>1671.89</v>
      </c>
      <c r="BQ18" s="628">
        <f ca="1">IF(AND($D18="Serviço",BQ$12&lt;&gt;0,$H18&gt;0,OR(AUTOEVENTO&lt;&gt;"manual",$M18&lt;&gt;1)),ROUND(OFFSET($P18,0,BQ$13),15-13*ORÇAMENTO!$AF$7)/$H18*OFFSET(ORÇAMENTO!$X$15,ROW(BQ18)-ROW(BQ$15),0),0)</f>
        <v>0</v>
      </c>
      <c r="BR18" s="628">
        <f ca="1">IF(AND($D18="Serviço",BR$12&lt;&gt;0,$H18&gt;0,OR(AUTOEVENTO&lt;&gt;"manual",$M18&lt;&gt;1)),ROUND(OFFSET($P18,0,BR$13),15-13*ORÇAMENTO!$AF$7)/$H18*OFFSET(ORÇAMENTO!$X$15,ROW(BR18)-ROW(BR$15),0),0)</f>
        <v>0</v>
      </c>
      <c r="BS18" s="628">
        <f ca="1">IF(AND($D18="Serviço",BS$12&lt;&gt;0,$H18&gt;0,OR(AUTOEVENTO&lt;&gt;"manual",$M18&lt;&gt;1)),ROUND(OFFSET($P18,0,BS$13),15-13*ORÇAMENTO!$AF$7)/$H18*OFFSET(ORÇAMENTO!$X$15,ROW(BS18)-ROW(BS$15),0),0)</f>
        <v>0</v>
      </c>
      <c r="BT18" s="628">
        <f ca="1">IF(AND($D18="Serviço",BT$12&lt;&gt;0,$H18&gt;0,OR(AUTOEVENTO&lt;&gt;"manual",$M18&lt;&gt;1)),ROUND(OFFSET($P18,0,BT$13),15-13*ORÇAMENTO!$AF$7)/$H18*OFFSET(ORÇAMENTO!$X$15,ROW(BT18)-ROW(BT$15),0),0)</f>
        <v>0</v>
      </c>
      <c r="BU18" s="628">
        <f ca="1">IF(AND($D18="Serviço",BU$12&lt;&gt;0,$H18&gt;0,OR(AUTOEVENTO&lt;&gt;"manual",$M18&lt;&gt;1)),ROUND(OFFSET($P18,0,BU$13),15-13*ORÇAMENTO!$AF$7)/$H18*OFFSET(ORÇAMENTO!$X$15,ROW(BU18)-ROW(BU$15),0),0)</f>
        <v>0</v>
      </c>
      <c r="BV18" s="628">
        <f ca="1">IF(AND($D18="Serviço",BV$12&lt;&gt;0,$H18&gt;0,OR(AUTOEVENTO&lt;&gt;"manual",$M18&lt;&gt;1)),ROUND(OFFSET($P18,0,BV$13),15-13*ORÇAMENTO!$AF$7)/$H18*OFFSET(ORÇAMENTO!$X$15,ROW(BV18)-ROW(BV$15),0),0)</f>
        <v>0</v>
      </c>
      <c r="BW18" s="628">
        <f ca="1">IF(AND($D18="Serviço",BW$12&lt;&gt;0,$H18&gt;0,OR(AUTOEVENTO&lt;&gt;"manual",$M18&lt;&gt;1)),ROUND(OFFSET($P18,0,BW$13),15-13*ORÇAMENTO!$AF$7)/$H18*OFFSET(ORÇAMENTO!$X$15,ROW(BW18)-ROW(BW$15),0),0)</f>
        <v>0</v>
      </c>
      <c r="BX18" s="628">
        <f ca="1">IF(AND($D18="Serviço",BX$12&lt;&gt;0,$H18&gt;0,OR(AUTOEVENTO&lt;&gt;"manual",$M18&lt;&gt;1)),ROUND(OFFSET($P18,0,BX$13),15-13*ORÇAMENTO!$AF$7)/$H18*OFFSET(ORÇAMENTO!$X$15,ROW(BX18)-ROW(BX$15),0),0)</f>
        <v>0</v>
      </c>
      <c r="BY18" s="629">
        <f ca="1">IF(AND($D18="Serviço",BY$12&lt;&gt;0,$H18&gt;0,OR(AUTOEVENTO&lt;&gt;"manual",$M18&lt;&gt;1)),ROUND(OFFSET($P18,0,BY$13),15-13*ORÇAMENTO!$AF$7)/$H18*OFFSET(ORÇAMENTO!$X$15,ROW(BY18)-ROW(BY$15),0),0)</f>
        <v>0</v>
      </c>
      <c r="BZ18" s="628">
        <f ca="1">IF(AND($D18="Serviço",BZ$12&lt;&gt;0,$H18&gt;0,OR(AUTOEVENTO&lt;&gt;"manual",$M18&lt;&gt;1)),ROUND(OFFSET($P18,0,BZ$13),15-13*ORÇAMENTO!$AF$7)/$H18*OFFSET(ORÇAMENTO!$X$15,ROW(BZ18)-ROW(BZ$15),0),0)</f>
        <v>0</v>
      </c>
      <c r="CA18" s="628">
        <f ca="1">IF(AND($D18="Serviço",CA$12&lt;&gt;0,$H18&gt;0,OR(AUTOEVENTO&lt;&gt;"manual",$M18&lt;&gt;1)),ROUND(OFFSET($P18,0,CA$13),15-13*ORÇAMENTO!$AF$7)/$H18*OFFSET(ORÇAMENTO!$X$15,ROW(CA18)-ROW(CA$15),0),0)</f>
        <v>0</v>
      </c>
      <c r="CB18" s="628">
        <f ca="1">IF(AND($D18="Serviço",CB$12&lt;&gt;0,$H18&gt;0,OR(AUTOEVENTO&lt;&gt;"manual",$M18&lt;&gt;1)),ROUND(OFFSET($P18,0,CB$13),15-13*ORÇAMENTO!$AF$7)/$H18*OFFSET(ORÇAMENTO!$X$15,ROW(CB18)-ROW(CB$15),0),0)</f>
        <v>0</v>
      </c>
      <c r="CC18" s="628">
        <f ca="1">IF(AND($D18="Serviço",CC$12&lt;&gt;0,$H18&gt;0,OR(AUTOEVENTO&lt;&gt;"manual",$M18&lt;&gt;1)),ROUND(OFFSET($P18,0,CC$13),15-13*ORÇAMENTO!$AF$7)/$H18*OFFSET(ORÇAMENTO!$X$15,ROW(CC18)-ROW(CC$15),0),0)</f>
        <v>0</v>
      </c>
      <c r="CD18" s="628">
        <f ca="1">IF(AND($D18="Serviço",CD$12&lt;&gt;0,$H18&gt;0,OR(AUTOEVENTO&lt;&gt;"manual",$M18&lt;&gt;1)),ROUND(OFFSET($P18,0,CD$13),15-13*ORÇAMENTO!$AF$7)/$H18*OFFSET(ORÇAMENTO!$X$15,ROW(CD18)-ROW(CD$15),0),0)</f>
        <v>0</v>
      </c>
      <c r="CE18" s="628">
        <f ca="1">IF(AND($D18="Serviço",CE$12&lt;&gt;0,$H18&gt;0,OR(AUTOEVENTO&lt;&gt;"manual",$M18&lt;&gt;1)),ROUND(OFFSET($P18,0,CE$13),15-13*ORÇAMENTO!$AF$7)/$H18*OFFSET(ORÇAMENTO!$X$15,ROW(CE18)-ROW(CE$15),0),0)</f>
        <v>0</v>
      </c>
      <c r="CF18" s="628">
        <f ca="1">IF(AND($D18="Serviço",CF$12&lt;&gt;0,$H18&gt;0,OR(AUTOEVENTO&lt;&gt;"manual",$M18&lt;&gt;1)),ROUND(OFFSET($P18,0,CF$13),15-13*ORÇAMENTO!$AF$7)/$H18*OFFSET(ORÇAMENTO!$X$15,ROW(CF18)-ROW(CF$15),0),0)</f>
        <v>0</v>
      </c>
      <c r="CG18" s="629">
        <f ca="1">IF(AND($D18="Serviço",CG$12&lt;&gt;0,$H18&gt;0,OR(AUTOEVENTO&lt;&gt;"manual",$M18&lt;&gt;1)),ROUND(OFFSET($P18,0,CG$13),15-13*ORÇAMENTO!$AF$7)/$H18*OFFSET(ORÇAMENTO!$X$15,ROW(CG18)-ROW(CG$15),0),0)</f>
        <v>0</v>
      </c>
      <c r="CH18" s="628">
        <f ca="1">IF(AND($D18="Serviço",CH$12&lt;&gt;0,$H18&gt;0,OR(AUTOEVENTO&lt;&gt;"manual",$M18&lt;&gt;1)),ROUND(OFFSET($P18,0,CH$13),15-13*ORÇAMENTO!$AF$7)/$H18*OFFSET(ORÇAMENTO!$X$15,ROW(CH18)-ROW(CH$15),0),0)</f>
        <v>0</v>
      </c>
      <c r="CI18" s="628">
        <f ca="1">IF(AND($D18="Serviço",CI$12&lt;&gt;0,$H18&gt;0,OR(AUTOEVENTO&lt;&gt;"manual",$M18&lt;&gt;1)),ROUND(OFFSET($P18,0,CI$13),15-13*ORÇAMENTO!$AF$7)/$H18*OFFSET(ORÇAMENTO!$X$15,ROW(CI18)-ROW(CI$15),0),0)</f>
        <v>0</v>
      </c>
      <c r="CJ18" s="628">
        <f ca="1">IF(AND($D18="Serviço",CJ$12&lt;&gt;0,$H18&gt;0,OR(AUTOEVENTO&lt;&gt;"manual",$M18&lt;&gt;1)),ROUND(OFFSET($P18,0,CJ$13),15-13*ORÇAMENTO!$AF$7)/$H18*OFFSET(ORÇAMENTO!$X$15,ROW(CJ18)-ROW(CJ$15),0),0)</f>
        <v>0</v>
      </c>
      <c r="CK18" s="628">
        <f ca="1">IF(AND($D18="Serviço",CK$12&lt;&gt;0,$H18&gt;0,OR(AUTOEVENTO&lt;&gt;"manual",$M18&lt;&gt;1)),ROUND(OFFSET($P18,0,CK$13),15-13*ORÇAMENTO!$AF$7)/$H18*OFFSET(ORÇAMENTO!$X$15,ROW(CK18)-ROW(CK$15),0),0)</f>
        <v>0</v>
      </c>
      <c r="CL18" s="628">
        <f ca="1">IF(AND($D18="Serviço",CL$12&lt;&gt;0,$H18&gt;0,OR(AUTOEVENTO&lt;&gt;"manual",$M18&lt;&gt;1)),ROUND(OFFSET($P18,0,CL$13),15-13*ORÇAMENTO!$AF$7)/$H18*OFFSET(ORÇAMENTO!$X$15,ROW(CL18)-ROW(CL$15),0),0)</f>
        <v>0</v>
      </c>
      <c r="CM18" s="628">
        <f ca="1">IF(AND($D18="Serviço",CM$12&lt;&gt;0,$H18&gt;0,OR(AUTOEVENTO&lt;&gt;"manual",$M18&lt;&gt;1)),ROUND(OFFSET($P18,0,CM$13),15-13*ORÇAMENTO!$AF$7)/$H18*OFFSET(ORÇAMENTO!$X$15,ROW(CM18)-ROW(CM$15),0),0)</f>
        <v>0</v>
      </c>
      <c r="CN18" s="628">
        <f ca="1">IF(AND($D18="Serviço",CN$12&lt;&gt;0,$H18&gt;0,OR(AUTOEVENTO&lt;&gt;"manual",$M18&lt;&gt;1)),ROUND(OFFSET($P18,0,CN$13),15-13*ORÇAMENTO!$AF$7)/$H18*OFFSET(ORÇAMENTO!$X$15,ROW(CN18)-ROW(CN$15),0),0)</f>
        <v>0</v>
      </c>
      <c r="CO18" s="629">
        <f ca="1">IF(AND($D18="Serviço",CO$12&lt;&gt;0,$H18&gt;0,OR(AUTOEVENTO&lt;&gt;"manual",$M18&lt;&gt;1)),ROUND(OFFSET($P18,0,CO$13),15-13*ORÇAMENTO!$AF$7)/$H18*OFFSET(ORÇAMENTO!$X$15,ROW(CO18)-ROW(CO$15),0),0)</f>
        <v>0</v>
      </c>
      <c r="CP18" s="628">
        <f ca="1">IF(AND($D18="Serviço",CP$12&lt;&gt;0,$H18&gt;0,OR(AUTOEVENTO&lt;&gt;"manual",$M18&lt;&gt;1)),ROUND(OFFSET($P18,0,CP$13),15-13*ORÇAMENTO!$AF$7)/$H18*OFFSET(ORÇAMENTO!$X$15,ROW(CP18)-ROW(CP$15),0),0)</f>
        <v>0</v>
      </c>
      <c r="CQ18" s="628">
        <f ca="1">IF(AND($D18="Serviço",CQ$12&lt;&gt;0,$H18&gt;0,OR(AUTOEVENTO&lt;&gt;"manual",$M18&lt;&gt;1)),ROUND(OFFSET($P18,0,CQ$13),15-13*ORÇAMENTO!$AF$7)/$H18*OFFSET(ORÇAMENTO!$X$15,ROW(CQ18)-ROW(CQ$15),0),0)</f>
        <v>0</v>
      </c>
      <c r="CR18" s="628">
        <f ca="1">IF(AND($D18="Serviço",CR$12&lt;&gt;0,$H18&gt;0,OR(AUTOEVENTO&lt;&gt;"manual",$M18&lt;&gt;1)),ROUND(OFFSET($P18,0,CR$13),15-13*ORÇAMENTO!$AF$7)/$H18*OFFSET(ORÇAMENTO!$X$15,ROW(CR18)-ROW(CR$15),0),0)</f>
        <v>0</v>
      </c>
      <c r="CS18" s="628">
        <f ca="1">IF(AND($D18="Serviço",CS$12&lt;&gt;0,$H18&gt;0,OR(AUTOEVENTO&lt;&gt;"manual",$M18&lt;&gt;1)),ROUND(OFFSET($P18,0,CS$13),15-13*ORÇAMENTO!$AF$7)/$H18*OFFSET(ORÇAMENTO!$X$15,ROW(CS18)-ROW(CS$15),0),0)</f>
        <v>0</v>
      </c>
      <c r="CT18" s="628">
        <f ca="1">IF(AND($D18="Serviço",CT$12&lt;&gt;0,$H18&gt;0,OR(AUTOEVENTO&lt;&gt;"manual",$M18&lt;&gt;1)),ROUND(OFFSET($P18,0,CT$13),15-13*ORÇAMENTO!$AF$7)/$H18*OFFSET(ORÇAMENTO!$X$15,ROW(CT18)-ROW(CT$15),0),0)</f>
        <v>0</v>
      </c>
      <c r="CU18" s="628">
        <f ca="1">IF(AND($D18="Serviço",CU$12&lt;&gt;0,$H18&gt;0,OR(AUTOEVENTO&lt;&gt;"manual",$M18&lt;&gt;1)),ROUND(OFFSET($P18,0,CU$13),15-13*ORÇAMENTO!$AF$7)/$H18*OFFSET(ORÇAMENTO!$X$15,ROW(CU18)-ROW(CU$15),0),0)</f>
        <v>0</v>
      </c>
      <c r="CV18" s="628">
        <f ca="1">IF(AND($D18="Serviço",CV$12&lt;&gt;0,$H18&gt;0,OR(AUTOEVENTO&lt;&gt;"manual",$M18&lt;&gt;1)),ROUND(OFFSET($P18,0,CV$13),15-13*ORÇAMENTO!$AF$7)/$H18*OFFSET(ORÇAMENTO!$X$15,ROW(CV18)-ROW(CV$15),0),0)</f>
        <v>0</v>
      </c>
      <c r="CW18" s="629">
        <f ca="1">IF(AND($D18="Serviço",CW$12&lt;&gt;0,$H18&gt;0,OR(AUTOEVENTO&lt;&gt;"manual",$M18&lt;&gt;1)),ROUND(OFFSET($P18,0,CW$13),15-13*ORÇAMENTO!$AF$7)/$H18*OFFSET(ORÇAMENTO!$X$15,ROW(CW18)-ROW(CW$15),0),0)</f>
        <v>0</v>
      </c>
      <c r="CX18" s="628">
        <f ca="1">IF(AND($D18="Serviço",CX$12&lt;&gt;0,$H18&gt;0,OR(AUTOEVENTO&lt;&gt;"manual",$M18&lt;&gt;1)),ROUND(OFFSET($P18,0,CX$13),15-13*ORÇAMENTO!$AF$7)/$H18*OFFSET(ORÇAMENTO!$X$15,ROW(CX18)-ROW(CX$15),0),0)</f>
        <v>0</v>
      </c>
      <c r="CY18" s="628">
        <f ca="1">IF(AND($D18="Serviço",CY$12&lt;&gt;0,$H18&gt;0,OR(AUTOEVENTO&lt;&gt;"manual",$M18&lt;&gt;1)),ROUND(OFFSET($P18,0,CY$13),15-13*ORÇAMENTO!$AF$7)/$H18*OFFSET(ORÇAMENTO!$X$15,ROW(CY18)-ROW(CY$15),0),0)</f>
        <v>0</v>
      </c>
      <c r="CZ18" s="628">
        <f ca="1">IF(AND($D18="Serviço",CZ$12&lt;&gt;0,$H18&gt;0,OR(AUTOEVENTO&lt;&gt;"manual",$M18&lt;&gt;1)),ROUND(OFFSET($P18,0,CZ$13),15-13*ORÇAMENTO!$AF$7)/$H18*OFFSET(ORÇAMENTO!$X$15,ROW(CZ18)-ROW(CZ$15),0),0)</f>
        <v>0</v>
      </c>
      <c r="DA18" s="628">
        <f ca="1">IF(AND($D18="Serviço",DA$12&lt;&gt;0,$H18&gt;0,OR(AUTOEVENTO&lt;&gt;"manual",$M18&lt;&gt;1)),ROUND(OFFSET($P18,0,DA$13),15-13*ORÇAMENTO!$AF$7)/$H18*OFFSET(ORÇAMENTO!$X$15,ROW(DA18)-ROW(DA$15),0),0)</f>
        <v>0</v>
      </c>
      <c r="DB18" s="628">
        <f ca="1">IF(AND($D18="Serviço",DB$12&lt;&gt;0,$H18&gt;0,OR(AUTOEVENTO&lt;&gt;"manual",$M18&lt;&gt;1)),ROUND(OFFSET($P18,0,DB$13),15-13*ORÇAMENTO!$AF$7)/$H18*OFFSET(ORÇAMENTO!$X$15,ROW(DB18)-ROW(DB$15),0),0)</f>
        <v>0</v>
      </c>
      <c r="DC18" s="628">
        <f ca="1">IF(AND($D18="Serviço",DC$12&lt;&gt;0,$H18&gt;0,OR(AUTOEVENTO&lt;&gt;"manual",$M18&lt;&gt;1)),ROUND(OFFSET($P18,0,DC$13),15-13*ORÇAMENTO!$AF$7)/$H18*OFFSET(ORÇAMENTO!$X$15,ROW(DC18)-ROW(DC$15),0),0)</f>
        <v>0</v>
      </c>
      <c r="DD18" s="628">
        <f ca="1">IF(AND($D18="Serviço",DD$12&lt;&gt;0,$H18&gt;0,OR(AUTOEVENTO&lt;&gt;"manual",$M18&lt;&gt;1)),ROUND(OFFSET($P18,0,DD$13),15-13*ORÇAMENTO!$AF$7)/$H18*OFFSET(ORÇAMENTO!$X$15,ROW(DD18)-ROW(DD$15),0),0)</f>
        <v>0</v>
      </c>
      <c r="DE18" s="629">
        <f ca="1">IF(AND($D18="Serviço",DE$12&lt;&gt;0,$H18&gt;0,OR(AUTOEVENTO&lt;&gt;"manual",$M18&lt;&gt;1)),ROUND(OFFSET($P18,0,DE$13),15-13*ORÇAMENTO!$AF$7)/$H18*OFFSET(ORÇAMENTO!$X$15,ROW(DE18)-ROW(DE$15),0),0)</f>
        <v>0</v>
      </c>
      <c r="DF18" s="628">
        <f ca="1">IF(AND($D18="Serviço",DF$12&lt;&gt;0,$H18&gt;0,OR(AUTOEVENTO&lt;&gt;"manual",$M18&lt;&gt;1)),ROUND(OFFSET($P18,0,DF$13),15-13*ORÇAMENTO!$AF$7)/$H18*OFFSET(ORÇAMENTO!$X$15,ROW(DF18)-ROW(DF$15),0),0)</f>
        <v>0</v>
      </c>
      <c r="DG18" s="628">
        <f ca="1">IF(AND($D18="Serviço",DG$12&lt;&gt;0,$H18&gt;0,OR(AUTOEVENTO&lt;&gt;"manual",$M18&lt;&gt;1)),ROUND(OFFSET($P18,0,DG$13),15-13*ORÇAMENTO!$AF$7)/$H18*OFFSET(ORÇAMENTO!$X$15,ROW(DG18)-ROW(DG$15),0),0)</f>
        <v>0</v>
      </c>
      <c r="DH18" s="628">
        <f ca="1">IF(AND($D18="Serviço",DH$12&lt;&gt;0,$H18&gt;0,OR(AUTOEVENTO&lt;&gt;"manual",$M18&lt;&gt;1)),ROUND(OFFSET($P18,0,DH$13),15-13*ORÇAMENTO!$AF$7)/$H18*OFFSET(ORÇAMENTO!$X$15,ROW(DH18)-ROW(DH$15),0),0)</f>
        <v>0</v>
      </c>
      <c r="DI18" s="628">
        <f ca="1">IF(AND($D18="Serviço",DI$12&lt;&gt;0,$H18&gt;0,OR(AUTOEVENTO&lt;&gt;"manual",$M18&lt;&gt;1)),ROUND(OFFSET($P18,0,DI$13),15-13*ORÇAMENTO!$AF$7)/$H18*OFFSET(ORÇAMENTO!$X$15,ROW(DI18)-ROW(DI$15),0),0)</f>
        <v>0</v>
      </c>
      <c r="DJ18" s="628">
        <f ca="1">IF(AND($D18="Serviço",DJ$12&lt;&gt;0,$H18&gt;0,OR(AUTOEVENTO&lt;&gt;"manual",$M18&lt;&gt;1)),ROUND(OFFSET($P18,0,DJ$13),15-13*ORÇAMENTO!$AF$7)/$H18*OFFSET(ORÇAMENTO!$X$15,ROW(DJ18)-ROW(DJ$15),0),0)</f>
        <v>0</v>
      </c>
      <c r="DK18" s="628">
        <f ca="1">IF(AND($D18="Serviço",DK$12&lt;&gt;0,$H18&gt;0,OR(AUTOEVENTO&lt;&gt;"manual",$M18&lt;&gt;1)),ROUND(OFFSET($P18,0,DK$13),15-13*ORÇAMENTO!$AF$7)/$H18*OFFSET(ORÇAMENTO!$X$15,ROW(DK18)-ROW(DK$15),0),0)</f>
        <v>0</v>
      </c>
      <c r="DL18" s="628">
        <f ca="1">IF(AND($D18="Serviço",DL$12&lt;&gt;0,$H18&gt;0,OR(AUTOEVENTO&lt;&gt;"manual",$M18&lt;&gt;1)),ROUND(OFFSET($P18,0,DL$13),15-13*ORÇAMENTO!$AF$7)/$H18*OFFSET(ORÇAMENTO!$X$15,ROW(DL18)-ROW(DL$15),0),0)</f>
        <v>0</v>
      </c>
      <c r="DM18" s="629">
        <f ca="1">IF(AND($D18="Serviço",DM$12&lt;&gt;0,$H18&gt;0,OR(AUTOEVENTO&lt;&gt;"manual",$M18&lt;&gt;1)),ROUND(OFFSET($P18,0,DM$13),15-13*ORÇAMENTO!$AF$7)/$H18*OFFSET(ORÇAMENTO!$X$15,ROW(DM18)-ROW(DM$15),0),0)</f>
        <v>0</v>
      </c>
      <c r="DO18" s="211">
        <f ca="1">IF($D18&lt;&gt;"Serviço",0,IF(AND(AUTOEVENTO="Manual",$M18=1),0,IF(OFFSET(CRONOPLE!$F$14,$M18,DO$13)="",10^12,OFFSET(CRONOPLE!$F$14,$M18,DO$13))))</f>
        <v>1</v>
      </c>
      <c r="DP18" s="211">
        <f ca="1">IF($D18&lt;&gt;"Serviço",0,IF(AND(AUTOEVENTO="Manual",$M18=1),0,IF(OFFSET(CRONOPLE!$F$14,$M18,DP$13)="",10^12,OFFSET(CRONOPLE!$F$14,$M18,DP$13))))</f>
        <v>2</v>
      </c>
      <c r="DQ18" s="211">
        <f ca="1">IF($D18&lt;&gt;"Serviço",0,IF(AND(AUTOEVENTO="Manual",$M18=1),0,IF(OFFSET(CRONOPLE!$F$14,$M18,DQ$13)="",10^12,OFFSET(CRONOPLE!$F$14,$M18,DQ$13))))</f>
        <v>3</v>
      </c>
      <c r="DR18" s="211">
        <f ca="1">IF($D18&lt;&gt;"Serviço",0,IF(AND(AUTOEVENTO="Manual",$M18=1),0,IF(OFFSET(CRONOPLE!$F$14,$M18,DR$13)="",10^12,OFFSET(CRONOPLE!$F$14,$M18,DR$13))))</f>
        <v>4</v>
      </c>
      <c r="DS18" s="211">
        <f ca="1">IF($D18&lt;&gt;"Serviço",0,IF(AND(AUTOEVENTO="Manual",$M18=1),0,IF(OFFSET(CRONOPLE!$F$14,$M18,DS$13)="",10^12,OFFSET(CRONOPLE!$F$14,$M18,DS$13))))</f>
        <v>5</v>
      </c>
      <c r="DT18" s="211">
        <f ca="1">IF($D18&lt;&gt;"Serviço",0,IF(AND(AUTOEVENTO="Manual",$M18=1),0,IF(OFFSET(CRONOPLE!$F$14,$M18,DT$13)="",10^12,OFFSET(CRONOPLE!$F$14,$M18,DT$13))))</f>
        <v>6</v>
      </c>
      <c r="DU18" s="211">
        <f ca="1">IF($D18&lt;&gt;"Serviço",0,IF(AND(AUTOEVENTO="Manual",$M18=1),0,IF(OFFSET(CRONOPLE!$F$14,$M18,DU$13)="",10^12,OFFSET(CRONOPLE!$F$14,$M18,DU$13))))</f>
        <v>1000000000000</v>
      </c>
      <c r="DV18" s="211">
        <f ca="1">IF($D18&lt;&gt;"Serviço",0,IF(AND(AUTOEVENTO="Manual",$M18=1),0,IF(OFFSET(CRONOPLE!$F$14,$M18,DV$13)="",10^12,OFFSET(CRONOPLE!$F$14,$M18,DV$13))))</f>
        <v>1000000000000</v>
      </c>
      <c r="DW18" s="211">
        <f ca="1">IF($D18&lt;&gt;"Serviço",0,IF(AND(AUTOEVENTO="Manual",$M18=1),0,IF(OFFSET(CRONOPLE!$F$14,$M18,DW$13)="",10^12,OFFSET(CRONOPLE!$F$14,$M18,DW$13))))</f>
        <v>1000000000000</v>
      </c>
      <c r="DX18" s="211">
        <f ca="1">IF($D18&lt;&gt;"Serviço",0,IF(AND(AUTOEVENTO="Manual",$M18=1),0,IF(OFFSET(CRONOPLE!$F$14,$M18,DX$13)="",10^12,OFFSET(CRONOPLE!$F$14,$M18,DX$13))))</f>
        <v>1000000000000</v>
      </c>
      <c r="DY18" s="211">
        <f ca="1">IF($D18&lt;&gt;"Serviço",0,IF(AND(AUTOEVENTO="Manual",$M18=1),0,IF(OFFSET(CRONOPLE!$F$14,$M18,DY$13)="",10^12,OFFSET(CRONOPLE!$F$14,$M18,DY$13))))</f>
        <v>1000000000000</v>
      </c>
      <c r="DZ18" s="211">
        <f ca="1">IF($D18&lt;&gt;"Serviço",0,IF(AND(AUTOEVENTO="Manual",$M18=1),0,IF(OFFSET(CRONOPLE!$F$14,$M18,DZ$13)="",10^12,OFFSET(CRONOPLE!$F$14,$M18,DZ$13))))</f>
        <v>1000000000000</v>
      </c>
      <c r="EA18" s="211">
        <f ca="1">IF($D18&lt;&gt;"Serviço",0,IF(AND(AUTOEVENTO="Manual",$M18=1),0,IF(OFFSET(CRONOPLE!$F$14,$M18,EA$13)="",10^12,OFFSET(CRONOPLE!$F$14,$M18,EA$13))))</f>
        <v>1000000000000</v>
      </c>
      <c r="EB18" s="211">
        <f ca="1">IF($D18&lt;&gt;"Serviço",0,IF(AND(AUTOEVENTO="Manual",$M18=1),0,IF(OFFSET(CRONOPLE!$F$14,$M18,EB$13)="",10^12,OFFSET(CRONOPLE!$F$14,$M18,EB$13))))</f>
        <v>1000000000000</v>
      </c>
      <c r="EC18" s="211">
        <f ca="1">IF($D18&lt;&gt;"Serviço",0,IF(AND(AUTOEVENTO="Manual",$M18=1),0,IF(OFFSET(CRONOPLE!$F$14,$M18,EC$13)="",10^12,OFFSET(CRONOPLE!$F$14,$M18,EC$13))))</f>
        <v>1000000000000</v>
      </c>
      <c r="ED18" s="211">
        <f ca="1">IF($D18&lt;&gt;"Serviço",0,IF(AND(AUTOEVENTO="Manual",$M18=1),0,IF(OFFSET(CRONOPLE!$F$14,$M18,ED$13)="",10^12,OFFSET(CRONOPLE!$F$14,$M18,ED$13))))</f>
        <v>1000000000000</v>
      </c>
      <c r="EE18" s="211">
        <f ca="1">IF($D18&lt;&gt;"Serviço",0,IF(AND(AUTOEVENTO="Manual",$M18=1),0,IF(OFFSET(CRONOPLE!$F$14,$M18,EE$13)="",10^12,OFFSET(CRONOPLE!$F$14,$M18,EE$13))))</f>
        <v>1000000000000</v>
      </c>
      <c r="EF18" s="211">
        <f ca="1">IF($D18&lt;&gt;"Serviço",0,IF(AND(AUTOEVENTO="Manual",$M18=1),0,IF(OFFSET(CRONOPLE!$F$14,$M18,EF$13)="",10^12,OFFSET(CRONOPLE!$F$14,$M18,EF$13))))</f>
        <v>1000000000000</v>
      </c>
      <c r="EG18" s="211">
        <f ca="1">IF($D18&lt;&gt;"Serviço",0,IF(AND(AUTOEVENTO="Manual",$M18=1),0,IF(OFFSET(CRONOPLE!$F$14,$M18,EG$13)="",10^12,OFFSET(CRONOPLE!$F$14,$M18,EG$13))))</f>
        <v>1000000000000</v>
      </c>
      <c r="EH18" s="211">
        <f ca="1">IF($D18&lt;&gt;"Serviço",0,IF(AND(AUTOEVENTO="Manual",$M18=1),0,IF(OFFSET(CRONOPLE!$F$14,$M18,EH$13)="",10^12,OFFSET(CRONOPLE!$F$14,$M18,EH$13))))</f>
        <v>1000000000000</v>
      </c>
      <c r="EI18" s="211">
        <f ca="1">IF($D18&lt;&gt;"Serviço",0,IF(AND(AUTOEVENTO="Manual",$M18=1),0,IF(OFFSET(CRONOPLE!$F$14,$M18,EI$13)="",10^12,OFFSET(CRONOPLE!$F$14,$M18,EI$13))))</f>
        <v>1000000000000</v>
      </c>
      <c r="EJ18" s="211">
        <f ca="1">IF($D18&lt;&gt;"Serviço",0,IF(AND(AUTOEVENTO="Manual",$M18=1),0,IF(OFFSET(CRONOPLE!$F$14,$M18,EJ$13)="",10^12,OFFSET(CRONOPLE!$F$14,$M18,EJ$13))))</f>
        <v>1000000000000</v>
      </c>
      <c r="EK18" s="211">
        <f ca="1">IF($D18&lt;&gt;"Serviço",0,IF(AND(AUTOEVENTO="Manual",$M18=1),0,IF(OFFSET(CRONOPLE!$F$14,$M18,EK$13)="",10^12,OFFSET(CRONOPLE!$F$14,$M18,EK$13))))</f>
        <v>1000000000000</v>
      </c>
      <c r="EL18" s="211">
        <f ca="1">IF($D18&lt;&gt;"Serviço",0,IF(AND(AUTOEVENTO="Manual",$M18=1),0,IF(OFFSET(CRONOPLE!$F$14,$M18,EL$13)="",10^12,OFFSET(CRONOPLE!$F$14,$M18,EL$13))))</f>
        <v>1000000000000</v>
      </c>
      <c r="EM18" s="211">
        <f ca="1">IF($D18&lt;&gt;"Serviço",0,IF(AND(AUTOEVENTO="Manual",$M18=1),0,IF(OFFSET(CRONOPLE!$F$14,$M18,EM$13)="",10^12,OFFSET(CRONOPLE!$F$14,$M18,EM$13))))</f>
        <v>1000000000000</v>
      </c>
      <c r="EN18" s="211">
        <f ca="1">IF($D18&lt;&gt;"Serviço",0,IF(AND(AUTOEVENTO="Manual",$M18=1),0,IF(OFFSET(CRONOPLE!$F$14,$M18,EN$13)="",10^12,OFFSET(CRONOPLE!$F$14,$M18,EN$13))))</f>
        <v>1000000000000</v>
      </c>
      <c r="EO18" s="211">
        <f ca="1">IF($D18&lt;&gt;"Serviço",0,IF(AND(AUTOEVENTO="Manual",$M18=1),0,IF(OFFSET(CRONOPLE!$F$14,$M18,EO$13)="",10^12,OFFSET(CRONOPLE!$F$14,$M18,EO$13))))</f>
        <v>1000000000000</v>
      </c>
      <c r="EP18" s="211">
        <f ca="1">IF($D18&lt;&gt;"Serviço",0,IF(AND(AUTOEVENTO="Manual",$M18=1),0,IF(OFFSET(CRONOPLE!$F$14,$M18,EP$13)="",10^12,OFFSET(CRONOPLE!$F$14,$M18,EP$13))))</f>
        <v>1000000000000</v>
      </c>
      <c r="EQ18" s="211">
        <f ca="1">IF($D18&lt;&gt;"Serviço",0,IF(AND(AUTOEVENTO="Manual",$M18=1),0,IF(OFFSET(CRONOPLE!$F$14,$M18,EQ$13)="",10^12,OFFSET(CRONOPLE!$F$14,$M18,EQ$13))))</f>
        <v>1000000000000</v>
      </c>
      <c r="ER18" s="211">
        <f ca="1">IF($D18&lt;&gt;"Serviço",0,IF(AND(AUTOEVENTO="Manual",$M18=1),0,IF(OFFSET(CRONOPLE!$F$14,$M18,ER$13)="",10^12,OFFSET(CRONOPLE!$F$14,$M18,ER$13))))</f>
        <v>1000000000000</v>
      </c>
      <c r="ES18" s="211">
        <f ca="1">IF($D18&lt;&gt;"Serviço",0,IF(AND(AUTOEVENTO="Manual",$M18=1),0,IF(OFFSET(CRONOPLE!$F$14,$M18,ES$13)="",10^12,OFFSET(CRONOPLE!$F$14,$M18,ES$13))))</f>
        <v>1000000000000</v>
      </c>
      <c r="ET18" s="211">
        <f ca="1">IF($D18&lt;&gt;"Serviço",0,IF(AND(AUTOEVENTO="Manual",$M18=1),0,IF(OFFSET(CRONOPLE!$F$14,$M18,ET$13)="",10^12,OFFSET(CRONOPLE!$F$14,$M18,ET$13))))</f>
        <v>1000000000000</v>
      </c>
      <c r="EU18" s="211">
        <f ca="1">IF($D18&lt;&gt;"Serviço",0,IF(AND(AUTOEVENTO="Manual",$M18=1),0,IF(OFFSET(CRONOPLE!$F$14,$M18,EU$13)="",10^12,OFFSET(CRONOPLE!$F$14,$M18,EU$13))))</f>
        <v>1000000000000</v>
      </c>
      <c r="EV18" s="211">
        <f ca="1">IF($D18&lt;&gt;"Serviço",0,IF(AND(AUTOEVENTO="Manual",$M18=1),0,IF(OFFSET(CRONOPLE!$F$14,$M18,EV$13)="",10^12,OFFSET(CRONOPLE!$F$14,$M18,EV$13))))</f>
        <v>1000000000000</v>
      </c>
      <c r="EW18" s="211">
        <f ca="1">IF($D18&lt;&gt;"Serviço",0,IF(AND(AUTOEVENTO="Manual",$M18=1),0,IF(OFFSET(CRONOPLE!$F$14,$M18,EW$13)="",10^12,OFFSET(CRONOPLE!$F$14,$M18,EW$13))))</f>
        <v>1000000000000</v>
      </c>
      <c r="EX18" s="211">
        <f ca="1">IF($D18&lt;&gt;"Serviço",0,IF(AND(AUTOEVENTO="Manual",$M18=1),0,IF(OFFSET(CRONOPLE!$F$14,$M18,EX$13)="",10^12,OFFSET(CRONOPLE!$F$14,$M18,EX$13))))</f>
        <v>1000000000000</v>
      </c>
      <c r="EY18" s="211">
        <f ca="1">IF($D18&lt;&gt;"Serviço",0,IF(AND(AUTOEVENTO="Manual",$M18=1),0,IF(OFFSET(CRONOPLE!$F$14,$M18,EY$13)="",10^12,OFFSET(CRONOPLE!$F$14,$M18,EY$13))))</f>
        <v>1000000000000</v>
      </c>
      <c r="EZ18" s="211">
        <f ca="1">IF($D18&lt;&gt;"Serviço",0,IF(AND(AUTOEVENTO="Manual",$M18=1),0,IF(OFFSET(CRONOPLE!$F$14,$M18,EZ$13)="",10^12,OFFSET(CRONOPLE!$F$14,$M18,EZ$13))))</f>
        <v>1000000000000</v>
      </c>
      <c r="FA18" s="211">
        <f ca="1">IF($D18&lt;&gt;"Serviço",0,IF(AND(AUTOEVENTO="Manual",$M18=1),0,IF(OFFSET(CRONOPLE!$F$14,$M18,FA$13)="",10^12,OFFSET(CRONOPLE!$F$14,$M18,FA$13))))</f>
        <v>1000000000000</v>
      </c>
      <c r="FB18" s="211">
        <f ca="1">IF($D18&lt;&gt;"Serviço",0,IF(AND(AUTOEVENTO="Manual",$M18=1),0,IF(OFFSET(CRONOPLE!$F$14,$M18,FB$13)="",10^12,OFFSET(CRONOPLE!$F$14,$M18,FB$13))))</f>
        <v>1000000000000</v>
      </c>
      <c r="FC18" s="211">
        <f ca="1">IF($D18&lt;&gt;"Serviço",0,IF(AND(AUTOEVENTO="Manual",$M18=1),0,IF(OFFSET(CRONOPLE!$F$14,$M18,FC$13)="",10^12,OFFSET(CRONOPLE!$F$14,$M18,FC$13))))</f>
        <v>1000000000000</v>
      </c>
      <c r="FD18" s="211">
        <f ca="1">IF($D18&lt;&gt;"Serviço",0,IF(AND(AUTOEVENTO="Manual",$M18=1),0,IF(OFFSET(CRONOPLE!$F$14,$M18,FD$13)="",10^12,OFFSET(CRONOPLE!$F$14,$M18,FD$13))))</f>
        <v>1000000000000</v>
      </c>
      <c r="FE18" s="211">
        <f ca="1">IF($D18&lt;&gt;"Serviço",0,IF(AND(AUTOEVENTO="Manual",$M18=1),0,IF(OFFSET(CRONOPLE!$F$14,$M18,FE$13)="",10^12,OFFSET(CRONOPLE!$F$14,$M18,FE$13))))</f>
        <v>1000000000000</v>
      </c>
      <c r="FF18" s="211">
        <f ca="1">IF($D18&lt;&gt;"Serviço",0,IF(AND(AUTOEVENTO="Manual",$M18=1),0,IF(OFFSET(CRONOPLE!$F$14,$M18,FF$13)="",10^12,OFFSET(CRONOPLE!$F$14,$M18,FF$13))))</f>
        <v>1000000000000</v>
      </c>
      <c r="FG18" s="211">
        <f ca="1">IF($D18&lt;&gt;"Serviço",0,IF(AND(AUTOEVENTO="Manual",$M18=1),0,IF(OFFSET(CRONOPLE!$F$14,$M18,FG$13)="",10^12,OFFSET(CRONOPLE!$F$14,$M18,FG$13))))</f>
        <v>1000000000000</v>
      </c>
      <c r="FH18" s="211">
        <f ca="1">IF($D18&lt;&gt;"Serviço",0,IF(AND(AUTOEVENTO="Manual",$M18=1),0,IF(OFFSET(CRONOPLE!$F$14,$M18,FH$13)="",10^12,OFFSET(CRONOPLE!$F$14,$M18,FH$13))))</f>
        <v>1000000000000</v>
      </c>
      <c r="FI18" s="211">
        <f ca="1">IF($D18&lt;&gt;"Serviço",0,IF(AND(AUTOEVENTO="Manual",$M18=1),0,IF(OFFSET(CRONOPLE!$F$14,$M18,FI$13)="",10^12,OFFSET(CRONOPLE!$F$14,$M18,FI$13))))</f>
        <v>1000000000000</v>
      </c>
      <c r="FJ18" s="211">
        <f ca="1">IF($D18&lt;&gt;"Serviço",0,IF(AND(AUTOEVENTO="Manual",$M18=1),0,IF(OFFSET(CRONOPLE!$F$14,$M18,FJ$13)="",10^12,OFFSET(CRONOPLE!$F$14,$M18,FJ$13))))</f>
        <v>1000000000000</v>
      </c>
      <c r="FK18" s="211">
        <f ca="1">IF($D18&lt;&gt;"Serviço",0,IF(AND(AUTOEVENTO="Manual",$M18=1),0,IF(OFFSET(CRONOPLE!$F$14,$M18,FK$13)="",10^12,OFFSET(CRONOPLE!$F$14,$M18,FK$13))))</f>
        <v>1000000000000</v>
      </c>
      <c r="FL18" s="211">
        <f ca="1">IF($D18&lt;&gt;"Serviço",0,IF(AND(AUTOEVENTO="Manual",$M18=1),0,IF(OFFSET(CRONOPLE!$F$14,$M18,FL$13)="",10^12,OFFSET(CRONOPLE!$F$14,$M18,FL$13))))</f>
        <v>1000000000000</v>
      </c>
      <c r="FN18" s="212">
        <f ca="1">IF($D18&lt;&gt;"Serviço",0,IF(OR(AND(AUTOEVENTO="Manual",$M18=1),$M18&gt;(ROW(PLE.lastrow)-ROW(PLE.firstrow))),0,IF(OFFSET(PLE!$G$14,$M18,FN$13)="",10^12,OFFSET(PLE!$G$14,$M18,FN$13))))</f>
        <v>1000000000000</v>
      </c>
      <c r="FO18" s="212">
        <f ca="1">IF($D18&lt;&gt;"Serviço",0,IF(OR(AND(AUTOEVENTO="Manual",$M18=1),$M18&gt;(ROW(PLE.lastrow)-ROW(PLE.firstrow))),0,IF(OFFSET(PLE!$G$14,$M18,FO$13)="",10^12,OFFSET(PLE!$G$14,$M18,FO$13))))</f>
        <v>1000000000000</v>
      </c>
      <c r="FP18" s="212">
        <f ca="1">IF($D18&lt;&gt;"Serviço",0,IF(OR(AND(AUTOEVENTO="Manual",$M18=1),$M18&gt;(ROW(PLE.lastrow)-ROW(PLE.firstrow))),0,IF(OFFSET(PLE!$G$14,$M18,FP$13)="",10^12,OFFSET(PLE!$G$14,$M18,FP$13))))</f>
        <v>1000000000000</v>
      </c>
      <c r="FQ18" s="212">
        <f ca="1">IF($D18&lt;&gt;"Serviço",0,IF(OR(AND(AUTOEVENTO="Manual",$M18=1),$M18&gt;(ROW(PLE.lastrow)-ROW(PLE.firstrow))),0,IF(OFFSET(PLE!$G$14,$M18,FQ$13)="",10^12,OFFSET(PLE!$G$14,$M18,FQ$13))))</f>
        <v>1000000000000</v>
      </c>
      <c r="FR18" s="212">
        <f ca="1">IF($D18&lt;&gt;"Serviço",0,IF(OR(AND(AUTOEVENTO="Manual",$M18=1),$M18&gt;(ROW(PLE.lastrow)-ROW(PLE.firstrow))),0,IF(OFFSET(PLE!$G$14,$M18,FR$13)="",10^12,OFFSET(PLE!$G$14,$M18,FR$13))))</f>
        <v>1000000000000</v>
      </c>
      <c r="FS18" s="212">
        <f ca="1">IF($D18&lt;&gt;"Serviço",0,IF(OR(AND(AUTOEVENTO="Manual",$M18=1),$M18&gt;(ROW(PLE.lastrow)-ROW(PLE.firstrow))),0,IF(OFFSET(PLE!$G$14,$M18,FS$13)="",10^12,OFFSET(PLE!$G$14,$M18,FS$13))))</f>
        <v>1000000000000</v>
      </c>
      <c r="FT18" s="212">
        <f ca="1">IF($D18&lt;&gt;"Serviço",0,IF(OR(AND(AUTOEVENTO="Manual",$M18=1),$M18&gt;(ROW(PLE.lastrow)-ROW(PLE.firstrow))),0,IF(OFFSET(PLE!$G$14,$M18,FT$13)="",10^12,OFFSET(PLE!$G$14,$M18,FT$13))))</f>
        <v>1000000000000</v>
      </c>
      <c r="FU18" s="212">
        <f ca="1">IF($D18&lt;&gt;"Serviço",0,IF(OR(AND(AUTOEVENTO="Manual",$M18=1),$M18&gt;(ROW(PLE.lastrow)-ROW(PLE.firstrow))),0,IF(OFFSET(PLE!$G$14,$M18,FU$13)="",10^12,OFFSET(PLE!$G$14,$M18,FU$13))))</f>
        <v>1000000000000</v>
      </c>
      <c r="FV18" s="212">
        <f ca="1">IF($D18&lt;&gt;"Serviço",0,IF(OR(AND(AUTOEVENTO="Manual",$M18=1),$M18&gt;(ROW(PLE.lastrow)-ROW(PLE.firstrow))),0,IF(OFFSET(PLE!$G$14,$M18,FV$13)="",10^12,OFFSET(PLE!$G$14,$M18,FV$13))))</f>
        <v>1000000000000</v>
      </c>
      <c r="FW18" s="212">
        <f ca="1">IF($D18&lt;&gt;"Serviço",0,IF(OR(AND(AUTOEVENTO="Manual",$M18=1),$M18&gt;(ROW(PLE.lastrow)-ROW(PLE.firstrow))),0,IF(OFFSET(PLE!$G$14,$M18,FW$13)="",10^12,OFFSET(PLE!$G$14,$M18,FW$13))))</f>
        <v>1000000000000</v>
      </c>
      <c r="FX18" s="212">
        <f ca="1">IF($D18&lt;&gt;"Serviço",0,IF(OR(AND(AUTOEVENTO="Manual",$M18=1),$M18&gt;(ROW(PLE.lastrow)-ROW(PLE.firstrow))),0,IF(OFFSET(PLE!$G$14,$M18,FX$13)="",10^12,OFFSET(PLE!$G$14,$M18,FX$13))))</f>
        <v>1000000000000</v>
      </c>
      <c r="FY18" s="212">
        <f ca="1">IF($D18&lt;&gt;"Serviço",0,IF(OR(AND(AUTOEVENTO="Manual",$M18=1),$M18&gt;(ROW(PLE.lastrow)-ROW(PLE.firstrow))),0,IF(OFFSET(PLE!$G$14,$M18,FY$13)="",10^12,OFFSET(PLE!$G$14,$M18,FY$13))))</f>
        <v>1000000000000</v>
      </c>
      <c r="FZ18" s="212">
        <f ca="1">IF($D18&lt;&gt;"Serviço",0,IF(OR(AND(AUTOEVENTO="Manual",$M18=1),$M18&gt;(ROW(PLE.lastrow)-ROW(PLE.firstrow))),0,IF(OFFSET(PLE!$G$14,$M18,FZ$13)="",10^12,OFFSET(PLE!$G$14,$M18,FZ$13))))</f>
        <v>1000000000000</v>
      </c>
      <c r="GA18" s="212">
        <f ca="1">IF($D18&lt;&gt;"Serviço",0,IF(OR(AND(AUTOEVENTO="Manual",$M18=1),$M18&gt;(ROW(PLE.lastrow)-ROW(PLE.firstrow))),0,IF(OFFSET(PLE!$G$14,$M18,GA$13)="",10^12,OFFSET(PLE!$G$14,$M18,GA$13))))</f>
        <v>1000000000000</v>
      </c>
      <c r="GB18" s="212">
        <f ca="1">IF($D18&lt;&gt;"Serviço",0,IF(OR(AND(AUTOEVENTO="Manual",$M18=1),$M18&gt;(ROW(PLE.lastrow)-ROW(PLE.firstrow))),0,IF(OFFSET(PLE!$G$14,$M18,GB$13)="",10^12,OFFSET(PLE!$G$14,$M18,GB$13))))</f>
        <v>1000000000000</v>
      </c>
      <c r="GC18" s="212">
        <f ca="1">IF($D18&lt;&gt;"Serviço",0,IF(OR(AND(AUTOEVENTO="Manual",$M18=1),$M18&gt;(ROW(PLE.lastrow)-ROW(PLE.firstrow))),0,IF(OFFSET(PLE!$G$14,$M18,GC$13)="",10^12,OFFSET(PLE!$G$14,$M18,GC$13))))</f>
        <v>1000000000000</v>
      </c>
      <c r="GD18" s="212">
        <f ca="1">IF($D18&lt;&gt;"Serviço",0,IF(OR(AND(AUTOEVENTO="Manual",$M18=1),$M18&gt;(ROW(PLE.lastrow)-ROW(PLE.firstrow))),0,IF(OFFSET(PLE!$G$14,$M18,GD$13)="",10^12,OFFSET(PLE!$G$14,$M18,GD$13))))</f>
        <v>1000000000000</v>
      </c>
      <c r="GE18" s="212">
        <f ca="1">IF($D18&lt;&gt;"Serviço",0,IF(OR(AND(AUTOEVENTO="Manual",$M18=1),$M18&gt;(ROW(PLE.lastrow)-ROW(PLE.firstrow))),0,IF(OFFSET(PLE!$G$14,$M18,GE$13)="",10^12,OFFSET(PLE!$G$14,$M18,GE$13))))</f>
        <v>1000000000000</v>
      </c>
      <c r="GF18" s="212">
        <f ca="1">IF($D18&lt;&gt;"Serviço",0,IF(OR(AND(AUTOEVENTO="Manual",$M18=1),$M18&gt;(ROW(PLE.lastrow)-ROW(PLE.firstrow))),0,IF(OFFSET(PLE!$G$14,$M18,GF$13)="",10^12,OFFSET(PLE!$G$14,$M18,GF$13))))</f>
        <v>1000000000000</v>
      </c>
      <c r="GG18" s="212">
        <f ca="1">IF($D18&lt;&gt;"Serviço",0,IF(OR(AND(AUTOEVENTO="Manual",$M18=1),$M18&gt;(ROW(PLE.lastrow)-ROW(PLE.firstrow))),0,IF(OFFSET(PLE!$G$14,$M18,GG$13)="",10^12,OFFSET(PLE!$G$14,$M18,GG$13))))</f>
        <v>1000000000000</v>
      </c>
      <c r="GH18" s="212">
        <f ca="1">IF($D18&lt;&gt;"Serviço",0,IF(OR(AND(AUTOEVENTO="Manual",$M18=1),$M18&gt;(ROW(PLE.lastrow)-ROW(PLE.firstrow))),0,IF(OFFSET(PLE!$G$14,$M18,GH$13)="",10^12,OFFSET(PLE!$G$14,$M18,GH$13))))</f>
        <v>1000000000000</v>
      </c>
      <c r="GI18" s="212">
        <f ca="1">IF($D18&lt;&gt;"Serviço",0,IF(OR(AND(AUTOEVENTO="Manual",$M18=1),$M18&gt;(ROW(PLE.lastrow)-ROW(PLE.firstrow))),0,IF(OFFSET(PLE!$G$14,$M18,GI$13)="",10^12,OFFSET(PLE!$G$14,$M18,GI$13))))</f>
        <v>1000000000000</v>
      </c>
      <c r="GJ18" s="212">
        <f ca="1">IF($D18&lt;&gt;"Serviço",0,IF(OR(AND(AUTOEVENTO="Manual",$M18=1),$M18&gt;(ROW(PLE.lastrow)-ROW(PLE.firstrow))),0,IF(OFFSET(PLE!$G$14,$M18,GJ$13)="",10^12,OFFSET(PLE!$G$14,$M18,GJ$13))))</f>
        <v>1000000000000</v>
      </c>
      <c r="GK18" s="212">
        <f ca="1">IF($D18&lt;&gt;"Serviço",0,IF(OR(AND(AUTOEVENTO="Manual",$M18=1),$M18&gt;(ROW(PLE.lastrow)-ROW(PLE.firstrow))),0,IF(OFFSET(PLE!$G$14,$M18,GK$13)="",10^12,OFFSET(PLE!$G$14,$M18,GK$13))))</f>
        <v>1000000000000</v>
      </c>
      <c r="GL18" s="212">
        <f ca="1">IF($D18&lt;&gt;"Serviço",0,IF(OR(AND(AUTOEVENTO="Manual",$M18=1),$M18&gt;(ROW(PLE.lastrow)-ROW(PLE.firstrow))),0,IF(OFFSET(PLE!$G$14,$M18,GL$13)="",10^12,OFFSET(PLE!$G$14,$M18,GL$13))))</f>
        <v>1000000000000</v>
      </c>
      <c r="GM18" s="212">
        <f ca="1">IF($D18&lt;&gt;"Serviço",0,IF(OR(AND(AUTOEVENTO="Manual",$M18=1),$M18&gt;(ROW(PLE.lastrow)-ROW(PLE.firstrow))),0,IF(OFFSET(PLE!$G$14,$M18,GM$13)="",10^12,OFFSET(PLE!$G$14,$M18,GM$13))))</f>
        <v>1000000000000</v>
      </c>
      <c r="GN18" s="212">
        <f ca="1">IF($D18&lt;&gt;"Serviço",0,IF(OR(AND(AUTOEVENTO="Manual",$M18=1),$M18&gt;(ROW(PLE.lastrow)-ROW(PLE.firstrow))),0,IF(OFFSET(PLE!$G$14,$M18,GN$13)="",10^12,OFFSET(PLE!$G$14,$M18,GN$13))))</f>
        <v>1000000000000</v>
      </c>
      <c r="GO18" s="212">
        <f ca="1">IF($D18&lt;&gt;"Serviço",0,IF(OR(AND(AUTOEVENTO="Manual",$M18=1),$M18&gt;(ROW(PLE.lastrow)-ROW(PLE.firstrow))),0,IF(OFFSET(PLE!$G$14,$M18,GO$13)="",10^12,OFFSET(PLE!$G$14,$M18,GO$13))))</f>
        <v>1000000000000</v>
      </c>
      <c r="GP18" s="212">
        <f ca="1">IF($D18&lt;&gt;"Serviço",0,IF(OR(AND(AUTOEVENTO="Manual",$M18=1),$M18&gt;(ROW(PLE.lastrow)-ROW(PLE.firstrow))),0,IF(OFFSET(PLE!$G$14,$M18,GP$13)="",10^12,OFFSET(PLE!$G$14,$M18,GP$13))))</f>
        <v>1000000000000</v>
      </c>
      <c r="GQ18" s="212">
        <f ca="1">IF($D18&lt;&gt;"Serviço",0,IF(OR(AND(AUTOEVENTO="Manual",$M18=1),$M18&gt;(ROW(PLE.lastrow)-ROW(PLE.firstrow))),0,IF(OFFSET(PLE!$G$14,$M18,GQ$13)="",10^12,OFFSET(PLE!$G$14,$M18,GQ$13))))</f>
        <v>1000000000000</v>
      </c>
      <c r="GR18" s="212">
        <f ca="1">IF($D18&lt;&gt;"Serviço",0,IF(OR(AND(AUTOEVENTO="Manual",$M18=1),$M18&gt;(ROW(PLE.lastrow)-ROW(PLE.firstrow))),0,IF(OFFSET(PLE!$G$14,$M18,GR$13)="",10^12,OFFSET(PLE!$G$14,$M18,GR$13))))</f>
        <v>1000000000000</v>
      </c>
      <c r="GS18" s="212">
        <f ca="1">IF($D18&lt;&gt;"Serviço",0,IF(OR(AND(AUTOEVENTO="Manual",$M18=1),$M18&gt;(ROW(PLE.lastrow)-ROW(PLE.firstrow))),0,IF(OFFSET(PLE!$G$14,$M18,GS$13)="",10^12,OFFSET(PLE!$G$14,$M18,GS$13))))</f>
        <v>1000000000000</v>
      </c>
      <c r="GT18" s="212">
        <f ca="1">IF($D18&lt;&gt;"Serviço",0,IF(OR(AND(AUTOEVENTO="Manual",$M18=1),$M18&gt;(ROW(PLE.lastrow)-ROW(PLE.firstrow))),0,IF(OFFSET(PLE!$G$14,$M18,GT$13)="",10^12,OFFSET(PLE!$G$14,$M18,GT$13))))</f>
        <v>1000000000000</v>
      </c>
      <c r="GU18" s="212">
        <f ca="1">IF($D18&lt;&gt;"Serviço",0,IF(OR(AND(AUTOEVENTO="Manual",$M18=1),$M18&gt;(ROW(PLE.lastrow)-ROW(PLE.firstrow))),0,IF(OFFSET(PLE!$G$14,$M18,GU$13)="",10^12,OFFSET(PLE!$G$14,$M18,GU$13))))</f>
        <v>1000000000000</v>
      </c>
      <c r="GV18" s="212">
        <f ca="1">IF($D18&lt;&gt;"Serviço",0,IF(OR(AND(AUTOEVENTO="Manual",$M18=1),$M18&gt;(ROW(PLE.lastrow)-ROW(PLE.firstrow))),0,IF(OFFSET(PLE!$G$14,$M18,GV$13)="",10^12,OFFSET(PLE!$G$14,$M18,GV$13))))</f>
        <v>1000000000000</v>
      </c>
      <c r="GW18" s="212">
        <f ca="1">IF($D18&lt;&gt;"Serviço",0,IF(OR(AND(AUTOEVENTO="Manual",$M18=1),$M18&gt;(ROW(PLE.lastrow)-ROW(PLE.firstrow))),0,IF(OFFSET(PLE!$G$14,$M18,GW$13)="",10^12,OFFSET(PLE!$G$14,$M18,GW$13))))</f>
        <v>1000000000000</v>
      </c>
      <c r="GX18" s="212">
        <f ca="1">IF($D18&lt;&gt;"Serviço",0,IF(OR(AND(AUTOEVENTO="Manual",$M18=1),$M18&gt;(ROW(PLE.lastrow)-ROW(PLE.firstrow))),0,IF(OFFSET(PLE!$G$14,$M18,GX$13)="",10^12,OFFSET(PLE!$G$14,$M18,GX$13))))</f>
        <v>1000000000000</v>
      </c>
      <c r="GY18" s="212">
        <f ca="1">IF($D18&lt;&gt;"Serviço",0,IF(OR(AND(AUTOEVENTO="Manual",$M18=1),$M18&gt;(ROW(PLE.lastrow)-ROW(PLE.firstrow))),0,IF(OFFSET(PLE!$G$14,$M18,GY$13)="",10^12,OFFSET(PLE!$G$14,$M18,GY$13))))</f>
        <v>1000000000000</v>
      </c>
      <c r="GZ18" s="212">
        <f ca="1">IF($D18&lt;&gt;"Serviço",0,IF(OR(AND(AUTOEVENTO="Manual",$M18=1),$M18&gt;(ROW(PLE.lastrow)-ROW(PLE.firstrow))),0,IF(OFFSET(PLE!$G$14,$M18,GZ$13)="",10^12,OFFSET(PLE!$G$14,$M18,GZ$13))))</f>
        <v>1000000000000</v>
      </c>
      <c r="HA18" s="212">
        <f ca="1">IF($D18&lt;&gt;"Serviço",0,IF(OR(AND(AUTOEVENTO="Manual",$M18=1),$M18&gt;(ROW(PLE.lastrow)-ROW(PLE.firstrow))),0,IF(OFFSET(PLE!$G$14,$M18,HA$13)="",10^12,OFFSET(PLE!$G$14,$M18,HA$13))))</f>
        <v>1000000000000</v>
      </c>
      <c r="HB18" s="212">
        <f ca="1">IF($D18&lt;&gt;"Serviço",0,IF(OR(AND(AUTOEVENTO="Manual",$M18=1),$M18&gt;(ROW(PLE.lastrow)-ROW(PLE.firstrow))),0,IF(OFFSET(PLE!$G$14,$M18,HB$13)="",10^12,OFFSET(PLE!$G$14,$M18,HB$13))))</f>
        <v>1000000000000</v>
      </c>
      <c r="HC18" s="212">
        <f ca="1">IF($D18&lt;&gt;"Serviço",0,IF(OR(AND(AUTOEVENTO="Manual",$M18=1),$M18&gt;(ROW(PLE.lastrow)-ROW(PLE.firstrow))),0,IF(OFFSET(PLE!$G$14,$M18,HC$13)="",10^12,OFFSET(PLE!$G$14,$M18,HC$13))))</f>
        <v>1000000000000</v>
      </c>
      <c r="HD18" s="212">
        <f ca="1">IF($D18&lt;&gt;"Serviço",0,IF(OR(AND(AUTOEVENTO="Manual",$M18=1),$M18&gt;(ROW(PLE.lastrow)-ROW(PLE.firstrow))),0,IF(OFFSET(PLE!$G$14,$M18,HD$13)="",10^12,OFFSET(PLE!$G$14,$M18,HD$13))))</f>
        <v>1000000000000</v>
      </c>
      <c r="HE18" s="212">
        <f ca="1">IF($D18&lt;&gt;"Serviço",0,IF(OR(AND(AUTOEVENTO="Manual",$M18=1),$M18&gt;(ROW(PLE.lastrow)-ROW(PLE.firstrow))),0,IF(OFFSET(PLE!$G$14,$M18,HE$13)="",10^12,OFFSET(PLE!$G$14,$M18,HE$13))))</f>
        <v>1000000000000</v>
      </c>
      <c r="HF18" s="212">
        <f ca="1">IF($D18&lt;&gt;"Serviço",0,IF(OR(AND(AUTOEVENTO="Manual",$M18=1),$M18&gt;(ROW(PLE.lastrow)-ROW(PLE.firstrow))),0,IF(OFFSET(PLE!$G$14,$M18,HF$13)="",10^12,OFFSET(PLE!$G$14,$M18,HF$13))))</f>
        <v>1000000000000</v>
      </c>
      <c r="HG18" s="212">
        <f ca="1">IF($D18&lt;&gt;"Serviço",0,IF(OR(AND(AUTOEVENTO="Manual",$M18=1),$M18&gt;(ROW(PLE.lastrow)-ROW(PLE.firstrow))),0,IF(OFFSET(PLE!$G$14,$M18,HG$13)="",10^12,OFFSET(PLE!$G$14,$M18,HG$13))))</f>
        <v>1000000000000</v>
      </c>
      <c r="HH18" s="212">
        <f ca="1">IF($D18&lt;&gt;"Serviço",0,IF(OR(AND(AUTOEVENTO="Manual",$M18=1),$M18&gt;(ROW(PLE.lastrow)-ROW(PLE.firstrow))),0,IF(OFFSET(PLE!$G$14,$M18,HH$13)="",10^12,OFFSET(PLE!$G$14,$M18,HH$13))))</f>
        <v>1000000000000</v>
      </c>
      <c r="HI18" s="212">
        <f ca="1">IF($D18&lt;&gt;"Serviço",0,IF(OR(AND(AUTOEVENTO="Manual",$M18=1),$M18&gt;(ROW(PLE.lastrow)-ROW(PLE.firstrow))),0,IF(OFFSET(PLE!$G$14,$M18,HI$13)="",10^12,OFFSET(PLE!$G$14,$M18,HI$13))))</f>
        <v>1000000000000</v>
      </c>
      <c r="HJ18" s="212">
        <f ca="1">IF($D18&lt;&gt;"Serviço",0,IF(OR(AND(AUTOEVENTO="Manual",$M18=1),$M18&gt;(ROW(PLE.lastrow)-ROW(PLE.firstrow))),0,IF(OFFSET(PLE!$G$14,$M18,HJ$13)="",10^12,OFFSET(PLE!$G$14,$M18,HJ$13))))</f>
        <v>1000000000000</v>
      </c>
      <c r="HK18" s="212">
        <f ca="1">IF($D18&lt;&gt;"Serviço",0,IF(OR(AND(AUTOEVENTO="Manual",$M18=1),$M18&gt;(ROW(PLE.lastrow)-ROW(PLE.firstrow))),0,IF(OFFSET(PLE!$G$14,$M18,HK$13)="",10^12,OFFSET(PLE!$G$14,$M18,HK$13))))</f>
        <v>1000000000000</v>
      </c>
    </row>
    <row r="19" spans="1:219" ht="76.5" x14ac:dyDescent="0.2">
      <c r="A19" s="9" t="str">
        <f t="shared" ca="1" si="9"/>
        <v>2</v>
      </c>
      <c r="B19" s="9" t="str">
        <f ca="1">OFFSET(ORÇAMENTO!C$15,ROW(B19)-ROW(B$15),0)</f>
        <v>S</v>
      </c>
      <c r="C19" s="9" t="str">
        <f ca="1">OFFSET(ORÇAMENTO!L$15,ROW(C19)-ROW(C$15),0)</f>
        <v>F</v>
      </c>
      <c r="D19" s="141" t="str">
        <f ca="1">OFFSET(ORÇAMENTO!N$15,ROW(D19)-ROW(D$15),0)</f>
        <v>Serviço</v>
      </c>
      <c r="E19" s="201" t="str">
        <f ca="1">OFFSET(ORÇAMENTO!O$15,ROW(E19)-ROW(E$15),0)</f>
        <v>1.1.2.</v>
      </c>
      <c r="F19" s="202" t="str">
        <f ca="1">OFFSET(ORÇAMENTO!R$15,ROW(F19)-ROW(F$15),0)</f>
        <v>Regularização do subleito</v>
      </c>
      <c r="G19" s="203" t="str">
        <f ca="1">IF($D19&lt;&gt;"Serviço","",OFFSET(ORÇAMENTO!S$15,ROW(G19)-ROW(G$15),0))</f>
        <v>M2</v>
      </c>
      <c r="H19" s="147">
        <f ca="1">IF($D19&lt;&gt;"Serviço",0,IF(ACOMPANHAMENTO="BM",ROUND(OFFSET(ORÇAMENTO!AJ$15,ROW(H19)-ROW(H$15),0),15-13*ORÇAMENTO!$AF$7),SUMPRODUCT(($Q$12:$BO$12&lt;&gt;"")*ROUND($Q19:$BO19,15-13*ORÇAMENTO!$AF$7))))</f>
        <v>3759.5</v>
      </c>
      <c r="I19" s="646" t="s">
        <v>492</v>
      </c>
      <c r="K19" s="204" t="s">
        <v>444</v>
      </c>
      <c r="L19" s="205" t="s">
        <v>257</v>
      </c>
      <c r="M19" s="206">
        <f ca="1">IF($D19&lt;&gt;"Serviço","",IF(AUTOEVENTO="manual",$A19,IF(ISERROR(MATCH($A19,$A$15:OFFSET($A19,-1,0),0)),MAX($M$15:OFFSET(M19,-1,0))+1,INDEX($M$15:OFFSET(M19,-1,0),MATCH($A19,$A$15:OFFSET($A19,-1,0),0)))))</f>
        <v>2</v>
      </c>
      <c r="N19" s="207" t="str">
        <f ca="1">IF($D19&lt;&gt;"Serviço","",IF(AUTOEVENTO="Manual",IF($A19=0,"&lt;-- defina o número do agrupador",OFFSET(EVENTOS!$D$14,$A19,0)),OFFSET($F$15,$A19,0)))</f>
        <v>SERVIÇOS PRELIMINARES</v>
      </c>
      <c r="O19" s="208"/>
      <c r="Q19" s="208">
        <f>Q23+(0.3*448.32)</f>
        <v>1362.1460000000002</v>
      </c>
      <c r="R19" s="209">
        <f>R23+(0.3*323.26)</f>
        <v>1854.7180000000001</v>
      </c>
      <c r="S19" s="209">
        <f>S23+(0*118.39)</f>
        <v>542.63</v>
      </c>
      <c r="T19" s="209"/>
      <c r="U19" s="209"/>
      <c r="V19" s="209"/>
      <c r="W19" s="209"/>
      <c r="X19" s="209"/>
      <c r="Y19" s="209"/>
      <c r="Z19" s="210"/>
      <c r="AA19" s="209"/>
      <c r="AB19" s="209"/>
      <c r="AC19" s="209"/>
      <c r="AD19" s="209"/>
      <c r="AE19" s="209"/>
      <c r="AF19" s="209"/>
      <c r="AG19" s="209"/>
      <c r="AH19" s="210"/>
      <c r="AI19" s="209"/>
      <c r="AJ19" s="209"/>
      <c r="AK19" s="209"/>
      <c r="AL19" s="209"/>
      <c r="AM19" s="209"/>
      <c r="AN19" s="209"/>
      <c r="AO19" s="209"/>
      <c r="AP19" s="210"/>
      <c r="AQ19" s="209"/>
      <c r="AR19" s="209"/>
      <c r="AS19" s="209"/>
      <c r="AT19" s="209"/>
      <c r="AU19" s="209"/>
      <c r="AV19" s="209"/>
      <c r="AW19" s="209"/>
      <c r="AX19" s="210"/>
      <c r="AY19" s="209"/>
      <c r="AZ19" s="209"/>
      <c r="BA19" s="209"/>
      <c r="BB19" s="209"/>
      <c r="BC19" s="209"/>
      <c r="BD19" s="209"/>
      <c r="BE19" s="209"/>
      <c r="BF19" s="210"/>
      <c r="BG19" s="209"/>
      <c r="BH19" s="209"/>
      <c r="BI19" s="209"/>
      <c r="BJ19" s="209"/>
      <c r="BK19" s="209"/>
      <c r="BL19" s="209"/>
      <c r="BM19" s="209"/>
      <c r="BN19" s="210"/>
      <c r="BP19" s="627">
        <f ca="1">IF(AND($D19="Serviço",BP$12&lt;&gt;0,$H19&gt;0,OR(AUTOEVENTO&lt;&gt;"manual",$M19&lt;&gt;1)),ROUND(OFFSET($P19,0,BP$13),15-13*ORÇAMENTO!$AF$7)/$H19*OFFSET(ORÇAMENTO!$X$15,ROW(BP19)-ROW(BP$15),0),0)</f>
        <v>1852.5240000000003</v>
      </c>
      <c r="BQ19" s="628">
        <f ca="1">IF(AND($D19="Serviço",BQ$12&lt;&gt;0,$H19&gt;0,OR(AUTOEVENTO&lt;&gt;"manual",$M19&lt;&gt;1)),ROUND(OFFSET($P19,0,BQ$13),15-13*ORÇAMENTO!$AF$7)/$H19*OFFSET(ORÇAMENTO!$X$15,ROW(BQ19)-ROW(BQ$15),0),0)</f>
        <v>2522.4191999999998</v>
      </c>
      <c r="BR19" s="628">
        <f ca="1">IF(AND($D19="Serviço",BR$12&lt;&gt;0,$H19&gt;0,OR(AUTOEVENTO&lt;&gt;"manual",$M19&lt;&gt;1)),ROUND(OFFSET($P19,0,BR$13),15-13*ORÇAMENTO!$AF$7)/$H19*OFFSET(ORÇAMENTO!$X$15,ROW(BR19)-ROW(BR$15),0),0)</f>
        <v>737.97680000000003</v>
      </c>
      <c r="BS19" s="628">
        <f ca="1">IF(AND($D19="Serviço",BS$12&lt;&gt;0,$H19&gt;0,OR(AUTOEVENTO&lt;&gt;"manual",$M19&lt;&gt;1)),ROUND(OFFSET($P19,0,BS$13),15-13*ORÇAMENTO!$AF$7)/$H19*OFFSET(ORÇAMENTO!$X$15,ROW(BS19)-ROW(BS$15),0),0)</f>
        <v>0</v>
      </c>
      <c r="BT19" s="628">
        <f ca="1">IF(AND($D19="Serviço",BT$12&lt;&gt;0,$H19&gt;0,OR(AUTOEVENTO&lt;&gt;"manual",$M19&lt;&gt;1)),ROUND(OFFSET($P19,0,BT$13),15-13*ORÇAMENTO!$AF$7)/$H19*OFFSET(ORÇAMENTO!$X$15,ROW(BT19)-ROW(BT$15),0),0)</f>
        <v>0</v>
      </c>
      <c r="BU19" s="628">
        <f ca="1">IF(AND($D19="Serviço",BU$12&lt;&gt;0,$H19&gt;0,OR(AUTOEVENTO&lt;&gt;"manual",$M19&lt;&gt;1)),ROUND(OFFSET($P19,0,BU$13),15-13*ORÇAMENTO!$AF$7)/$H19*OFFSET(ORÇAMENTO!$X$15,ROW(BU19)-ROW(BU$15),0),0)</f>
        <v>0</v>
      </c>
      <c r="BV19" s="628">
        <f ca="1">IF(AND($D19="Serviço",BV$12&lt;&gt;0,$H19&gt;0,OR(AUTOEVENTO&lt;&gt;"manual",$M19&lt;&gt;1)),ROUND(OFFSET($P19,0,BV$13),15-13*ORÇAMENTO!$AF$7)/$H19*OFFSET(ORÇAMENTO!$X$15,ROW(BV19)-ROW(BV$15),0),0)</f>
        <v>0</v>
      </c>
      <c r="BW19" s="628">
        <f ca="1">IF(AND($D19="Serviço",BW$12&lt;&gt;0,$H19&gt;0,OR(AUTOEVENTO&lt;&gt;"manual",$M19&lt;&gt;1)),ROUND(OFFSET($P19,0,BW$13),15-13*ORÇAMENTO!$AF$7)/$H19*OFFSET(ORÇAMENTO!$X$15,ROW(BW19)-ROW(BW$15),0),0)</f>
        <v>0</v>
      </c>
      <c r="BX19" s="628">
        <f ca="1">IF(AND($D19="Serviço",BX$12&lt;&gt;0,$H19&gt;0,OR(AUTOEVENTO&lt;&gt;"manual",$M19&lt;&gt;1)),ROUND(OFFSET($P19,0,BX$13),15-13*ORÇAMENTO!$AF$7)/$H19*OFFSET(ORÇAMENTO!$X$15,ROW(BX19)-ROW(BX$15),0),0)</f>
        <v>0</v>
      </c>
      <c r="BY19" s="629">
        <f ca="1">IF(AND($D19="Serviço",BY$12&lt;&gt;0,$H19&gt;0,OR(AUTOEVENTO&lt;&gt;"manual",$M19&lt;&gt;1)),ROUND(OFFSET($P19,0,BY$13),15-13*ORÇAMENTO!$AF$7)/$H19*OFFSET(ORÇAMENTO!$X$15,ROW(BY19)-ROW(BY$15),0),0)</f>
        <v>0</v>
      </c>
      <c r="BZ19" s="628">
        <f ca="1">IF(AND($D19="Serviço",BZ$12&lt;&gt;0,$H19&gt;0,OR(AUTOEVENTO&lt;&gt;"manual",$M19&lt;&gt;1)),ROUND(OFFSET($P19,0,BZ$13),15-13*ORÇAMENTO!$AF$7)/$H19*OFFSET(ORÇAMENTO!$X$15,ROW(BZ19)-ROW(BZ$15),0),0)</f>
        <v>0</v>
      </c>
      <c r="CA19" s="628">
        <f ca="1">IF(AND($D19="Serviço",CA$12&lt;&gt;0,$H19&gt;0,OR(AUTOEVENTO&lt;&gt;"manual",$M19&lt;&gt;1)),ROUND(OFFSET($P19,0,CA$13),15-13*ORÇAMENTO!$AF$7)/$H19*OFFSET(ORÇAMENTO!$X$15,ROW(CA19)-ROW(CA$15),0),0)</f>
        <v>0</v>
      </c>
      <c r="CB19" s="628">
        <f ca="1">IF(AND($D19="Serviço",CB$12&lt;&gt;0,$H19&gt;0,OR(AUTOEVENTO&lt;&gt;"manual",$M19&lt;&gt;1)),ROUND(OFFSET($P19,0,CB$13),15-13*ORÇAMENTO!$AF$7)/$H19*OFFSET(ORÇAMENTO!$X$15,ROW(CB19)-ROW(CB$15),0),0)</f>
        <v>0</v>
      </c>
      <c r="CC19" s="628">
        <f ca="1">IF(AND($D19="Serviço",CC$12&lt;&gt;0,$H19&gt;0,OR(AUTOEVENTO&lt;&gt;"manual",$M19&lt;&gt;1)),ROUND(OFFSET($P19,0,CC$13),15-13*ORÇAMENTO!$AF$7)/$H19*OFFSET(ORÇAMENTO!$X$15,ROW(CC19)-ROW(CC$15),0),0)</f>
        <v>0</v>
      </c>
      <c r="CD19" s="628">
        <f ca="1">IF(AND($D19="Serviço",CD$12&lt;&gt;0,$H19&gt;0,OR(AUTOEVENTO&lt;&gt;"manual",$M19&lt;&gt;1)),ROUND(OFFSET($P19,0,CD$13),15-13*ORÇAMENTO!$AF$7)/$H19*OFFSET(ORÇAMENTO!$X$15,ROW(CD19)-ROW(CD$15),0),0)</f>
        <v>0</v>
      </c>
      <c r="CE19" s="628">
        <f ca="1">IF(AND($D19="Serviço",CE$12&lt;&gt;0,$H19&gt;0,OR(AUTOEVENTO&lt;&gt;"manual",$M19&lt;&gt;1)),ROUND(OFFSET($P19,0,CE$13),15-13*ORÇAMENTO!$AF$7)/$H19*OFFSET(ORÇAMENTO!$X$15,ROW(CE19)-ROW(CE$15),0),0)</f>
        <v>0</v>
      </c>
      <c r="CF19" s="628">
        <f ca="1">IF(AND($D19="Serviço",CF$12&lt;&gt;0,$H19&gt;0,OR(AUTOEVENTO&lt;&gt;"manual",$M19&lt;&gt;1)),ROUND(OFFSET($P19,0,CF$13),15-13*ORÇAMENTO!$AF$7)/$H19*OFFSET(ORÇAMENTO!$X$15,ROW(CF19)-ROW(CF$15),0),0)</f>
        <v>0</v>
      </c>
      <c r="CG19" s="629">
        <f ca="1">IF(AND($D19="Serviço",CG$12&lt;&gt;0,$H19&gt;0,OR(AUTOEVENTO&lt;&gt;"manual",$M19&lt;&gt;1)),ROUND(OFFSET($P19,0,CG$13),15-13*ORÇAMENTO!$AF$7)/$H19*OFFSET(ORÇAMENTO!$X$15,ROW(CG19)-ROW(CG$15),0),0)</f>
        <v>0</v>
      </c>
      <c r="CH19" s="628">
        <f ca="1">IF(AND($D19="Serviço",CH$12&lt;&gt;0,$H19&gt;0,OR(AUTOEVENTO&lt;&gt;"manual",$M19&lt;&gt;1)),ROUND(OFFSET($P19,0,CH$13),15-13*ORÇAMENTO!$AF$7)/$H19*OFFSET(ORÇAMENTO!$X$15,ROW(CH19)-ROW(CH$15),0),0)</f>
        <v>0</v>
      </c>
      <c r="CI19" s="628">
        <f ca="1">IF(AND($D19="Serviço",CI$12&lt;&gt;0,$H19&gt;0,OR(AUTOEVENTO&lt;&gt;"manual",$M19&lt;&gt;1)),ROUND(OFFSET($P19,0,CI$13),15-13*ORÇAMENTO!$AF$7)/$H19*OFFSET(ORÇAMENTO!$X$15,ROW(CI19)-ROW(CI$15),0),0)</f>
        <v>0</v>
      </c>
      <c r="CJ19" s="628">
        <f ca="1">IF(AND($D19="Serviço",CJ$12&lt;&gt;0,$H19&gt;0,OR(AUTOEVENTO&lt;&gt;"manual",$M19&lt;&gt;1)),ROUND(OFFSET($P19,0,CJ$13),15-13*ORÇAMENTO!$AF$7)/$H19*OFFSET(ORÇAMENTO!$X$15,ROW(CJ19)-ROW(CJ$15),0),0)</f>
        <v>0</v>
      </c>
      <c r="CK19" s="628">
        <f ca="1">IF(AND($D19="Serviço",CK$12&lt;&gt;0,$H19&gt;0,OR(AUTOEVENTO&lt;&gt;"manual",$M19&lt;&gt;1)),ROUND(OFFSET($P19,0,CK$13),15-13*ORÇAMENTO!$AF$7)/$H19*OFFSET(ORÇAMENTO!$X$15,ROW(CK19)-ROW(CK$15),0),0)</f>
        <v>0</v>
      </c>
      <c r="CL19" s="628">
        <f ca="1">IF(AND($D19="Serviço",CL$12&lt;&gt;0,$H19&gt;0,OR(AUTOEVENTO&lt;&gt;"manual",$M19&lt;&gt;1)),ROUND(OFFSET($P19,0,CL$13),15-13*ORÇAMENTO!$AF$7)/$H19*OFFSET(ORÇAMENTO!$X$15,ROW(CL19)-ROW(CL$15),0),0)</f>
        <v>0</v>
      </c>
      <c r="CM19" s="628">
        <f ca="1">IF(AND($D19="Serviço",CM$12&lt;&gt;0,$H19&gt;0,OR(AUTOEVENTO&lt;&gt;"manual",$M19&lt;&gt;1)),ROUND(OFFSET($P19,0,CM$13),15-13*ORÇAMENTO!$AF$7)/$H19*OFFSET(ORÇAMENTO!$X$15,ROW(CM19)-ROW(CM$15),0),0)</f>
        <v>0</v>
      </c>
      <c r="CN19" s="628">
        <f ca="1">IF(AND($D19="Serviço",CN$12&lt;&gt;0,$H19&gt;0,OR(AUTOEVENTO&lt;&gt;"manual",$M19&lt;&gt;1)),ROUND(OFFSET($P19,0,CN$13),15-13*ORÇAMENTO!$AF$7)/$H19*OFFSET(ORÇAMENTO!$X$15,ROW(CN19)-ROW(CN$15),0),0)</f>
        <v>0</v>
      </c>
      <c r="CO19" s="629">
        <f ca="1">IF(AND($D19="Serviço",CO$12&lt;&gt;0,$H19&gt;0,OR(AUTOEVENTO&lt;&gt;"manual",$M19&lt;&gt;1)),ROUND(OFFSET($P19,0,CO$13),15-13*ORÇAMENTO!$AF$7)/$H19*OFFSET(ORÇAMENTO!$X$15,ROW(CO19)-ROW(CO$15),0),0)</f>
        <v>0</v>
      </c>
      <c r="CP19" s="628">
        <f ca="1">IF(AND($D19="Serviço",CP$12&lt;&gt;0,$H19&gt;0,OR(AUTOEVENTO&lt;&gt;"manual",$M19&lt;&gt;1)),ROUND(OFFSET($P19,0,CP$13),15-13*ORÇAMENTO!$AF$7)/$H19*OFFSET(ORÇAMENTO!$X$15,ROW(CP19)-ROW(CP$15),0),0)</f>
        <v>0</v>
      </c>
      <c r="CQ19" s="628">
        <f ca="1">IF(AND($D19="Serviço",CQ$12&lt;&gt;0,$H19&gt;0,OR(AUTOEVENTO&lt;&gt;"manual",$M19&lt;&gt;1)),ROUND(OFFSET($P19,0,CQ$13),15-13*ORÇAMENTO!$AF$7)/$H19*OFFSET(ORÇAMENTO!$X$15,ROW(CQ19)-ROW(CQ$15),0),0)</f>
        <v>0</v>
      </c>
      <c r="CR19" s="628">
        <f ca="1">IF(AND($D19="Serviço",CR$12&lt;&gt;0,$H19&gt;0,OR(AUTOEVENTO&lt;&gt;"manual",$M19&lt;&gt;1)),ROUND(OFFSET($P19,0,CR$13),15-13*ORÇAMENTO!$AF$7)/$H19*OFFSET(ORÇAMENTO!$X$15,ROW(CR19)-ROW(CR$15),0),0)</f>
        <v>0</v>
      </c>
      <c r="CS19" s="628">
        <f ca="1">IF(AND($D19="Serviço",CS$12&lt;&gt;0,$H19&gt;0,OR(AUTOEVENTO&lt;&gt;"manual",$M19&lt;&gt;1)),ROUND(OFFSET($P19,0,CS$13),15-13*ORÇAMENTO!$AF$7)/$H19*OFFSET(ORÇAMENTO!$X$15,ROW(CS19)-ROW(CS$15),0),0)</f>
        <v>0</v>
      </c>
      <c r="CT19" s="628">
        <f ca="1">IF(AND($D19="Serviço",CT$12&lt;&gt;0,$H19&gt;0,OR(AUTOEVENTO&lt;&gt;"manual",$M19&lt;&gt;1)),ROUND(OFFSET($P19,0,CT$13),15-13*ORÇAMENTO!$AF$7)/$H19*OFFSET(ORÇAMENTO!$X$15,ROW(CT19)-ROW(CT$15),0),0)</f>
        <v>0</v>
      </c>
      <c r="CU19" s="628">
        <f ca="1">IF(AND($D19="Serviço",CU$12&lt;&gt;0,$H19&gt;0,OR(AUTOEVENTO&lt;&gt;"manual",$M19&lt;&gt;1)),ROUND(OFFSET($P19,0,CU$13),15-13*ORÇAMENTO!$AF$7)/$H19*OFFSET(ORÇAMENTO!$X$15,ROW(CU19)-ROW(CU$15),0),0)</f>
        <v>0</v>
      </c>
      <c r="CV19" s="628">
        <f ca="1">IF(AND($D19="Serviço",CV$12&lt;&gt;0,$H19&gt;0,OR(AUTOEVENTO&lt;&gt;"manual",$M19&lt;&gt;1)),ROUND(OFFSET($P19,0,CV$13),15-13*ORÇAMENTO!$AF$7)/$H19*OFFSET(ORÇAMENTO!$X$15,ROW(CV19)-ROW(CV$15),0),0)</f>
        <v>0</v>
      </c>
      <c r="CW19" s="629">
        <f ca="1">IF(AND($D19="Serviço",CW$12&lt;&gt;0,$H19&gt;0,OR(AUTOEVENTO&lt;&gt;"manual",$M19&lt;&gt;1)),ROUND(OFFSET($P19,0,CW$13),15-13*ORÇAMENTO!$AF$7)/$H19*OFFSET(ORÇAMENTO!$X$15,ROW(CW19)-ROW(CW$15),0),0)</f>
        <v>0</v>
      </c>
      <c r="CX19" s="628">
        <f ca="1">IF(AND($D19="Serviço",CX$12&lt;&gt;0,$H19&gt;0,OR(AUTOEVENTO&lt;&gt;"manual",$M19&lt;&gt;1)),ROUND(OFFSET($P19,0,CX$13),15-13*ORÇAMENTO!$AF$7)/$H19*OFFSET(ORÇAMENTO!$X$15,ROW(CX19)-ROW(CX$15),0),0)</f>
        <v>0</v>
      </c>
      <c r="CY19" s="628">
        <f ca="1">IF(AND($D19="Serviço",CY$12&lt;&gt;0,$H19&gt;0,OR(AUTOEVENTO&lt;&gt;"manual",$M19&lt;&gt;1)),ROUND(OFFSET($P19,0,CY$13),15-13*ORÇAMENTO!$AF$7)/$H19*OFFSET(ORÇAMENTO!$X$15,ROW(CY19)-ROW(CY$15),0),0)</f>
        <v>0</v>
      </c>
      <c r="CZ19" s="628">
        <f ca="1">IF(AND($D19="Serviço",CZ$12&lt;&gt;0,$H19&gt;0,OR(AUTOEVENTO&lt;&gt;"manual",$M19&lt;&gt;1)),ROUND(OFFSET($P19,0,CZ$13),15-13*ORÇAMENTO!$AF$7)/$H19*OFFSET(ORÇAMENTO!$X$15,ROW(CZ19)-ROW(CZ$15),0),0)</f>
        <v>0</v>
      </c>
      <c r="DA19" s="628">
        <f ca="1">IF(AND($D19="Serviço",DA$12&lt;&gt;0,$H19&gt;0,OR(AUTOEVENTO&lt;&gt;"manual",$M19&lt;&gt;1)),ROUND(OFFSET($P19,0,DA$13),15-13*ORÇAMENTO!$AF$7)/$H19*OFFSET(ORÇAMENTO!$X$15,ROW(DA19)-ROW(DA$15),0),0)</f>
        <v>0</v>
      </c>
      <c r="DB19" s="628">
        <f ca="1">IF(AND($D19="Serviço",DB$12&lt;&gt;0,$H19&gt;0,OR(AUTOEVENTO&lt;&gt;"manual",$M19&lt;&gt;1)),ROUND(OFFSET($P19,0,DB$13),15-13*ORÇAMENTO!$AF$7)/$H19*OFFSET(ORÇAMENTO!$X$15,ROW(DB19)-ROW(DB$15),0),0)</f>
        <v>0</v>
      </c>
      <c r="DC19" s="628">
        <f ca="1">IF(AND($D19="Serviço",DC$12&lt;&gt;0,$H19&gt;0,OR(AUTOEVENTO&lt;&gt;"manual",$M19&lt;&gt;1)),ROUND(OFFSET($P19,0,DC$13),15-13*ORÇAMENTO!$AF$7)/$H19*OFFSET(ORÇAMENTO!$X$15,ROW(DC19)-ROW(DC$15),0),0)</f>
        <v>0</v>
      </c>
      <c r="DD19" s="628">
        <f ca="1">IF(AND($D19="Serviço",DD$12&lt;&gt;0,$H19&gt;0,OR(AUTOEVENTO&lt;&gt;"manual",$M19&lt;&gt;1)),ROUND(OFFSET($P19,0,DD$13),15-13*ORÇAMENTO!$AF$7)/$H19*OFFSET(ORÇAMENTO!$X$15,ROW(DD19)-ROW(DD$15),0),0)</f>
        <v>0</v>
      </c>
      <c r="DE19" s="629">
        <f ca="1">IF(AND($D19="Serviço",DE$12&lt;&gt;0,$H19&gt;0,OR(AUTOEVENTO&lt;&gt;"manual",$M19&lt;&gt;1)),ROUND(OFFSET($P19,0,DE$13),15-13*ORÇAMENTO!$AF$7)/$H19*OFFSET(ORÇAMENTO!$X$15,ROW(DE19)-ROW(DE$15),0),0)</f>
        <v>0</v>
      </c>
      <c r="DF19" s="628">
        <f ca="1">IF(AND($D19="Serviço",DF$12&lt;&gt;0,$H19&gt;0,OR(AUTOEVENTO&lt;&gt;"manual",$M19&lt;&gt;1)),ROUND(OFFSET($P19,0,DF$13),15-13*ORÇAMENTO!$AF$7)/$H19*OFFSET(ORÇAMENTO!$X$15,ROW(DF19)-ROW(DF$15),0),0)</f>
        <v>0</v>
      </c>
      <c r="DG19" s="628">
        <f ca="1">IF(AND($D19="Serviço",DG$12&lt;&gt;0,$H19&gt;0,OR(AUTOEVENTO&lt;&gt;"manual",$M19&lt;&gt;1)),ROUND(OFFSET($P19,0,DG$13),15-13*ORÇAMENTO!$AF$7)/$H19*OFFSET(ORÇAMENTO!$X$15,ROW(DG19)-ROW(DG$15),0),0)</f>
        <v>0</v>
      </c>
      <c r="DH19" s="628">
        <f ca="1">IF(AND($D19="Serviço",DH$12&lt;&gt;0,$H19&gt;0,OR(AUTOEVENTO&lt;&gt;"manual",$M19&lt;&gt;1)),ROUND(OFFSET($P19,0,DH$13),15-13*ORÇAMENTO!$AF$7)/$H19*OFFSET(ORÇAMENTO!$X$15,ROW(DH19)-ROW(DH$15),0),0)</f>
        <v>0</v>
      </c>
      <c r="DI19" s="628">
        <f ca="1">IF(AND($D19="Serviço",DI$12&lt;&gt;0,$H19&gt;0,OR(AUTOEVENTO&lt;&gt;"manual",$M19&lt;&gt;1)),ROUND(OFFSET($P19,0,DI$13),15-13*ORÇAMENTO!$AF$7)/$H19*OFFSET(ORÇAMENTO!$X$15,ROW(DI19)-ROW(DI$15),0),0)</f>
        <v>0</v>
      </c>
      <c r="DJ19" s="628">
        <f ca="1">IF(AND($D19="Serviço",DJ$12&lt;&gt;0,$H19&gt;0,OR(AUTOEVENTO&lt;&gt;"manual",$M19&lt;&gt;1)),ROUND(OFFSET($P19,0,DJ$13),15-13*ORÇAMENTO!$AF$7)/$H19*OFFSET(ORÇAMENTO!$X$15,ROW(DJ19)-ROW(DJ$15),0),0)</f>
        <v>0</v>
      </c>
      <c r="DK19" s="628">
        <f ca="1">IF(AND($D19="Serviço",DK$12&lt;&gt;0,$H19&gt;0,OR(AUTOEVENTO&lt;&gt;"manual",$M19&lt;&gt;1)),ROUND(OFFSET($P19,0,DK$13),15-13*ORÇAMENTO!$AF$7)/$H19*OFFSET(ORÇAMENTO!$X$15,ROW(DK19)-ROW(DK$15),0),0)</f>
        <v>0</v>
      </c>
      <c r="DL19" s="628">
        <f ca="1">IF(AND($D19="Serviço",DL$12&lt;&gt;0,$H19&gt;0,OR(AUTOEVENTO&lt;&gt;"manual",$M19&lt;&gt;1)),ROUND(OFFSET($P19,0,DL$13),15-13*ORÇAMENTO!$AF$7)/$H19*OFFSET(ORÇAMENTO!$X$15,ROW(DL19)-ROW(DL$15),0),0)</f>
        <v>0</v>
      </c>
      <c r="DM19" s="629">
        <f ca="1">IF(AND($D19="Serviço",DM$12&lt;&gt;0,$H19&gt;0,OR(AUTOEVENTO&lt;&gt;"manual",$M19&lt;&gt;1)),ROUND(OFFSET($P19,0,DM$13),15-13*ORÇAMENTO!$AF$7)/$H19*OFFSET(ORÇAMENTO!$X$15,ROW(DM19)-ROW(DM$15),0),0)</f>
        <v>0</v>
      </c>
      <c r="DO19" s="211">
        <f ca="1">IF($D19&lt;&gt;"Serviço",0,IF(AND(AUTOEVENTO="Manual",$M19=1),0,IF(OFFSET(CRONOPLE!$F$14,$M19,DO$13)="",10^12,OFFSET(CRONOPLE!$F$14,$M19,DO$13))))</f>
        <v>1</v>
      </c>
      <c r="DP19" s="211">
        <f ca="1">IF($D19&lt;&gt;"Serviço",0,IF(AND(AUTOEVENTO="Manual",$M19=1),0,IF(OFFSET(CRONOPLE!$F$14,$M19,DP$13)="",10^12,OFFSET(CRONOPLE!$F$14,$M19,DP$13))))</f>
        <v>2</v>
      </c>
      <c r="DQ19" s="211">
        <f ca="1">IF($D19&lt;&gt;"Serviço",0,IF(AND(AUTOEVENTO="Manual",$M19=1),0,IF(OFFSET(CRONOPLE!$F$14,$M19,DQ$13)="",10^12,OFFSET(CRONOPLE!$F$14,$M19,DQ$13))))</f>
        <v>3</v>
      </c>
      <c r="DR19" s="211">
        <f ca="1">IF($D19&lt;&gt;"Serviço",0,IF(AND(AUTOEVENTO="Manual",$M19=1),0,IF(OFFSET(CRONOPLE!$F$14,$M19,DR$13)="",10^12,OFFSET(CRONOPLE!$F$14,$M19,DR$13))))</f>
        <v>4</v>
      </c>
      <c r="DS19" s="211">
        <f ca="1">IF($D19&lt;&gt;"Serviço",0,IF(AND(AUTOEVENTO="Manual",$M19=1),0,IF(OFFSET(CRONOPLE!$F$14,$M19,DS$13)="",10^12,OFFSET(CRONOPLE!$F$14,$M19,DS$13))))</f>
        <v>5</v>
      </c>
      <c r="DT19" s="211">
        <f ca="1">IF($D19&lt;&gt;"Serviço",0,IF(AND(AUTOEVENTO="Manual",$M19=1),0,IF(OFFSET(CRONOPLE!$F$14,$M19,DT$13)="",10^12,OFFSET(CRONOPLE!$F$14,$M19,DT$13))))</f>
        <v>6</v>
      </c>
      <c r="DU19" s="211">
        <f ca="1">IF($D19&lt;&gt;"Serviço",0,IF(AND(AUTOEVENTO="Manual",$M19=1),0,IF(OFFSET(CRONOPLE!$F$14,$M19,DU$13)="",10^12,OFFSET(CRONOPLE!$F$14,$M19,DU$13))))</f>
        <v>1000000000000</v>
      </c>
      <c r="DV19" s="211">
        <f ca="1">IF($D19&lt;&gt;"Serviço",0,IF(AND(AUTOEVENTO="Manual",$M19=1),0,IF(OFFSET(CRONOPLE!$F$14,$M19,DV$13)="",10^12,OFFSET(CRONOPLE!$F$14,$M19,DV$13))))</f>
        <v>1000000000000</v>
      </c>
      <c r="DW19" s="211">
        <f ca="1">IF($D19&lt;&gt;"Serviço",0,IF(AND(AUTOEVENTO="Manual",$M19=1),0,IF(OFFSET(CRONOPLE!$F$14,$M19,DW$13)="",10^12,OFFSET(CRONOPLE!$F$14,$M19,DW$13))))</f>
        <v>1000000000000</v>
      </c>
      <c r="DX19" s="211">
        <f ca="1">IF($D19&lt;&gt;"Serviço",0,IF(AND(AUTOEVENTO="Manual",$M19=1),0,IF(OFFSET(CRONOPLE!$F$14,$M19,DX$13)="",10^12,OFFSET(CRONOPLE!$F$14,$M19,DX$13))))</f>
        <v>1000000000000</v>
      </c>
      <c r="DY19" s="211">
        <f ca="1">IF($D19&lt;&gt;"Serviço",0,IF(AND(AUTOEVENTO="Manual",$M19=1),0,IF(OFFSET(CRONOPLE!$F$14,$M19,DY$13)="",10^12,OFFSET(CRONOPLE!$F$14,$M19,DY$13))))</f>
        <v>1000000000000</v>
      </c>
      <c r="DZ19" s="211">
        <f ca="1">IF($D19&lt;&gt;"Serviço",0,IF(AND(AUTOEVENTO="Manual",$M19=1),0,IF(OFFSET(CRONOPLE!$F$14,$M19,DZ$13)="",10^12,OFFSET(CRONOPLE!$F$14,$M19,DZ$13))))</f>
        <v>1000000000000</v>
      </c>
      <c r="EA19" s="211">
        <f ca="1">IF($D19&lt;&gt;"Serviço",0,IF(AND(AUTOEVENTO="Manual",$M19=1),0,IF(OFFSET(CRONOPLE!$F$14,$M19,EA$13)="",10^12,OFFSET(CRONOPLE!$F$14,$M19,EA$13))))</f>
        <v>1000000000000</v>
      </c>
      <c r="EB19" s="211">
        <f ca="1">IF($D19&lt;&gt;"Serviço",0,IF(AND(AUTOEVENTO="Manual",$M19=1),0,IF(OFFSET(CRONOPLE!$F$14,$M19,EB$13)="",10^12,OFFSET(CRONOPLE!$F$14,$M19,EB$13))))</f>
        <v>1000000000000</v>
      </c>
      <c r="EC19" s="211">
        <f ca="1">IF($D19&lt;&gt;"Serviço",0,IF(AND(AUTOEVENTO="Manual",$M19=1),0,IF(OFFSET(CRONOPLE!$F$14,$M19,EC$13)="",10^12,OFFSET(CRONOPLE!$F$14,$M19,EC$13))))</f>
        <v>1000000000000</v>
      </c>
      <c r="ED19" s="211">
        <f ca="1">IF($D19&lt;&gt;"Serviço",0,IF(AND(AUTOEVENTO="Manual",$M19=1),0,IF(OFFSET(CRONOPLE!$F$14,$M19,ED$13)="",10^12,OFFSET(CRONOPLE!$F$14,$M19,ED$13))))</f>
        <v>1000000000000</v>
      </c>
      <c r="EE19" s="211">
        <f ca="1">IF($D19&lt;&gt;"Serviço",0,IF(AND(AUTOEVENTO="Manual",$M19=1),0,IF(OFFSET(CRONOPLE!$F$14,$M19,EE$13)="",10^12,OFFSET(CRONOPLE!$F$14,$M19,EE$13))))</f>
        <v>1000000000000</v>
      </c>
      <c r="EF19" s="211">
        <f ca="1">IF($D19&lt;&gt;"Serviço",0,IF(AND(AUTOEVENTO="Manual",$M19=1),0,IF(OFFSET(CRONOPLE!$F$14,$M19,EF$13)="",10^12,OFFSET(CRONOPLE!$F$14,$M19,EF$13))))</f>
        <v>1000000000000</v>
      </c>
      <c r="EG19" s="211">
        <f ca="1">IF($D19&lt;&gt;"Serviço",0,IF(AND(AUTOEVENTO="Manual",$M19=1),0,IF(OFFSET(CRONOPLE!$F$14,$M19,EG$13)="",10^12,OFFSET(CRONOPLE!$F$14,$M19,EG$13))))</f>
        <v>1000000000000</v>
      </c>
      <c r="EH19" s="211">
        <f ca="1">IF($D19&lt;&gt;"Serviço",0,IF(AND(AUTOEVENTO="Manual",$M19=1),0,IF(OFFSET(CRONOPLE!$F$14,$M19,EH$13)="",10^12,OFFSET(CRONOPLE!$F$14,$M19,EH$13))))</f>
        <v>1000000000000</v>
      </c>
      <c r="EI19" s="211">
        <f ca="1">IF($D19&lt;&gt;"Serviço",0,IF(AND(AUTOEVENTO="Manual",$M19=1),0,IF(OFFSET(CRONOPLE!$F$14,$M19,EI$13)="",10^12,OFFSET(CRONOPLE!$F$14,$M19,EI$13))))</f>
        <v>1000000000000</v>
      </c>
      <c r="EJ19" s="211">
        <f ca="1">IF($D19&lt;&gt;"Serviço",0,IF(AND(AUTOEVENTO="Manual",$M19=1),0,IF(OFFSET(CRONOPLE!$F$14,$M19,EJ$13)="",10^12,OFFSET(CRONOPLE!$F$14,$M19,EJ$13))))</f>
        <v>1000000000000</v>
      </c>
      <c r="EK19" s="211">
        <f ca="1">IF($D19&lt;&gt;"Serviço",0,IF(AND(AUTOEVENTO="Manual",$M19=1),0,IF(OFFSET(CRONOPLE!$F$14,$M19,EK$13)="",10^12,OFFSET(CRONOPLE!$F$14,$M19,EK$13))))</f>
        <v>1000000000000</v>
      </c>
      <c r="EL19" s="211">
        <f ca="1">IF($D19&lt;&gt;"Serviço",0,IF(AND(AUTOEVENTO="Manual",$M19=1),0,IF(OFFSET(CRONOPLE!$F$14,$M19,EL$13)="",10^12,OFFSET(CRONOPLE!$F$14,$M19,EL$13))))</f>
        <v>1000000000000</v>
      </c>
      <c r="EM19" s="211">
        <f ca="1">IF($D19&lt;&gt;"Serviço",0,IF(AND(AUTOEVENTO="Manual",$M19=1),0,IF(OFFSET(CRONOPLE!$F$14,$M19,EM$13)="",10^12,OFFSET(CRONOPLE!$F$14,$M19,EM$13))))</f>
        <v>1000000000000</v>
      </c>
      <c r="EN19" s="211">
        <f ca="1">IF($D19&lt;&gt;"Serviço",0,IF(AND(AUTOEVENTO="Manual",$M19=1),0,IF(OFFSET(CRONOPLE!$F$14,$M19,EN$13)="",10^12,OFFSET(CRONOPLE!$F$14,$M19,EN$13))))</f>
        <v>1000000000000</v>
      </c>
      <c r="EO19" s="211">
        <f ca="1">IF($D19&lt;&gt;"Serviço",0,IF(AND(AUTOEVENTO="Manual",$M19=1),0,IF(OFFSET(CRONOPLE!$F$14,$M19,EO$13)="",10^12,OFFSET(CRONOPLE!$F$14,$M19,EO$13))))</f>
        <v>1000000000000</v>
      </c>
      <c r="EP19" s="211">
        <f ca="1">IF($D19&lt;&gt;"Serviço",0,IF(AND(AUTOEVENTO="Manual",$M19=1),0,IF(OFFSET(CRONOPLE!$F$14,$M19,EP$13)="",10^12,OFFSET(CRONOPLE!$F$14,$M19,EP$13))))</f>
        <v>1000000000000</v>
      </c>
      <c r="EQ19" s="211">
        <f ca="1">IF($D19&lt;&gt;"Serviço",0,IF(AND(AUTOEVENTO="Manual",$M19=1),0,IF(OFFSET(CRONOPLE!$F$14,$M19,EQ$13)="",10^12,OFFSET(CRONOPLE!$F$14,$M19,EQ$13))))</f>
        <v>1000000000000</v>
      </c>
      <c r="ER19" s="211">
        <f ca="1">IF($D19&lt;&gt;"Serviço",0,IF(AND(AUTOEVENTO="Manual",$M19=1),0,IF(OFFSET(CRONOPLE!$F$14,$M19,ER$13)="",10^12,OFFSET(CRONOPLE!$F$14,$M19,ER$13))))</f>
        <v>1000000000000</v>
      </c>
      <c r="ES19" s="211">
        <f ca="1">IF($D19&lt;&gt;"Serviço",0,IF(AND(AUTOEVENTO="Manual",$M19=1),0,IF(OFFSET(CRONOPLE!$F$14,$M19,ES$13)="",10^12,OFFSET(CRONOPLE!$F$14,$M19,ES$13))))</f>
        <v>1000000000000</v>
      </c>
      <c r="ET19" s="211">
        <f ca="1">IF($D19&lt;&gt;"Serviço",0,IF(AND(AUTOEVENTO="Manual",$M19=1),0,IF(OFFSET(CRONOPLE!$F$14,$M19,ET$13)="",10^12,OFFSET(CRONOPLE!$F$14,$M19,ET$13))))</f>
        <v>1000000000000</v>
      </c>
      <c r="EU19" s="211">
        <f ca="1">IF($D19&lt;&gt;"Serviço",0,IF(AND(AUTOEVENTO="Manual",$M19=1),0,IF(OFFSET(CRONOPLE!$F$14,$M19,EU$13)="",10^12,OFFSET(CRONOPLE!$F$14,$M19,EU$13))))</f>
        <v>1000000000000</v>
      </c>
      <c r="EV19" s="211">
        <f ca="1">IF($D19&lt;&gt;"Serviço",0,IF(AND(AUTOEVENTO="Manual",$M19=1),0,IF(OFFSET(CRONOPLE!$F$14,$M19,EV$13)="",10^12,OFFSET(CRONOPLE!$F$14,$M19,EV$13))))</f>
        <v>1000000000000</v>
      </c>
      <c r="EW19" s="211">
        <f ca="1">IF($D19&lt;&gt;"Serviço",0,IF(AND(AUTOEVENTO="Manual",$M19=1),0,IF(OFFSET(CRONOPLE!$F$14,$M19,EW$13)="",10^12,OFFSET(CRONOPLE!$F$14,$M19,EW$13))))</f>
        <v>1000000000000</v>
      </c>
      <c r="EX19" s="211">
        <f ca="1">IF($D19&lt;&gt;"Serviço",0,IF(AND(AUTOEVENTO="Manual",$M19=1),0,IF(OFFSET(CRONOPLE!$F$14,$M19,EX$13)="",10^12,OFFSET(CRONOPLE!$F$14,$M19,EX$13))))</f>
        <v>1000000000000</v>
      </c>
      <c r="EY19" s="211">
        <f ca="1">IF($D19&lt;&gt;"Serviço",0,IF(AND(AUTOEVENTO="Manual",$M19=1),0,IF(OFFSET(CRONOPLE!$F$14,$M19,EY$13)="",10^12,OFFSET(CRONOPLE!$F$14,$M19,EY$13))))</f>
        <v>1000000000000</v>
      </c>
      <c r="EZ19" s="211">
        <f ca="1">IF($D19&lt;&gt;"Serviço",0,IF(AND(AUTOEVENTO="Manual",$M19=1),0,IF(OFFSET(CRONOPLE!$F$14,$M19,EZ$13)="",10^12,OFFSET(CRONOPLE!$F$14,$M19,EZ$13))))</f>
        <v>1000000000000</v>
      </c>
      <c r="FA19" s="211">
        <f ca="1">IF($D19&lt;&gt;"Serviço",0,IF(AND(AUTOEVENTO="Manual",$M19=1),0,IF(OFFSET(CRONOPLE!$F$14,$M19,FA$13)="",10^12,OFFSET(CRONOPLE!$F$14,$M19,FA$13))))</f>
        <v>1000000000000</v>
      </c>
      <c r="FB19" s="211">
        <f ca="1">IF($D19&lt;&gt;"Serviço",0,IF(AND(AUTOEVENTO="Manual",$M19=1),0,IF(OFFSET(CRONOPLE!$F$14,$M19,FB$13)="",10^12,OFFSET(CRONOPLE!$F$14,$M19,FB$13))))</f>
        <v>1000000000000</v>
      </c>
      <c r="FC19" s="211">
        <f ca="1">IF($D19&lt;&gt;"Serviço",0,IF(AND(AUTOEVENTO="Manual",$M19=1),0,IF(OFFSET(CRONOPLE!$F$14,$M19,FC$13)="",10^12,OFFSET(CRONOPLE!$F$14,$M19,FC$13))))</f>
        <v>1000000000000</v>
      </c>
      <c r="FD19" s="211">
        <f ca="1">IF($D19&lt;&gt;"Serviço",0,IF(AND(AUTOEVENTO="Manual",$M19=1),0,IF(OFFSET(CRONOPLE!$F$14,$M19,FD$13)="",10^12,OFFSET(CRONOPLE!$F$14,$M19,FD$13))))</f>
        <v>1000000000000</v>
      </c>
      <c r="FE19" s="211">
        <f ca="1">IF($D19&lt;&gt;"Serviço",0,IF(AND(AUTOEVENTO="Manual",$M19=1),0,IF(OFFSET(CRONOPLE!$F$14,$M19,FE$13)="",10^12,OFFSET(CRONOPLE!$F$14,$M19,FE$13))))</f>
        <v>1000000000000</v>
      </c>
      <c r="FF19" s="211">
        <f ca="1">IF($D19&lt;&gt;"Serviço",0,IF(AND(AUTOEVENTO="Manual",$M19=1),0,IF(OFFSET(CRONOPLE!$F$14,$M19,FF$13)="",10^12,OFFSET(CRONOPLE!$F$14,$M19,FF$13))))</f>
        <v>1000000000000</v>
      </c>
      <c r="FG19" s="211">
        <f ca="1">IF($D19&lt;&gt;"Serviço",0,IF(AND(AUTOEVENTO="Manual",$M19=1),0,IF(OFFSET(CRONOPLE!$F$14,$M19,FG$13)="",10^12,OFFSET(CRONOPLE!$F$14,$M19,FG$13))))</f>
        <v>1000000000000</v>
      </c>
      <c r="FH19" s="211">
        <f ca="1">IF($D19&lt;&gt;"Serviço",0,IF(AND(AUTOEVENTO="Manual",$M19=1),0,IF(OFFSET(CRONOPLE!$F$14,$M19,FH$13)="",10^12,OFFSET(CRONOPLE!$F$14,$M19,FH$13))))</f>
        <v>1000000000000</v>
      </c>
      <c r="FI19" s="211">
        <f ca="1">IF($D19&lt;&gt;"Serviço",0,IF(AND(AUTOEVENTO="Manual",$M19=1),0,IF(OFFSET(CRONOPLE!$F$14,$M19,FI$13)="",10^12,OFFSET(CRONOPLE!$F$14,$M19,FI$13))))</f>
        <v>1000000000000</v>
      </c>
      <c r="FJ19" s="211">
        <f ca="1">IF($D19&lt;&gt;"Serviço",0,IF(AND(AUTOEVENTO="Manual",$M19=1),0,IF(OFFSET(CRONOPLE!$F$14,$M19,FJ$13)="",10^12,OFFSET(CRONOPLE!$F$14,$M19,FJ$13))))</f>
        <v>1000000000000</v>
      </c>
      <c r="FK19" s="211">
        <f ca="1">IF($D19&lt;&gt;"Serviço",0,IF(AND(AUTOEVENTO="Manual",$M19=1),0,IF(OFFSET(CRONOPLE!$F$14,$M19,FK$13)="",10^12,OFFSET(CRONOPLE!$F$14,$M19,FK$13))))</f>
        <v>1000000000000</v>
      </c>
      <c r="FL19" s="211">
        <f ca="1">IF($D19&lt;&gt;"Serviço",0,IF(AND(AUTOEVENTO="Manual",$M19=1),0,IF(OFFSET(CRONOPLE!$F$14,$M19,FL$13)="",10^12,OFFSET(CRONOPLE!$F$14,$M19,FL$13))))</f>
        <v>1000000000000</v>
      </c>
      <c r="FN19" s="212">
        <f ca="1">IF($D19&lt;&gt;"Serviço",0,IF(OR(AND(AUTOEVENTO="Manual",$M19=1),$M19&gt;(ROW(PLE.lastrow)-ROW(PLE.firstrow))),0,IF(OFFSET(PLE!$G$14,$M19,FN$13)="",10^12,OFFSET(PLE!$G$14,$M19,FN$13))))</f>
        <v>1000000000000</v>
      </c>
      <c r="FO19" s="212">
        <f ca="1">IF($D19&lt;&gt;"Serviço",0,IF(OR(AND(AUTOEVENTO="Manual",$M19=1),$M19&gt;(ROW(PLE.lastrow)-ROW(PLE.firstrow))),0,IF(OFFSET(PLE!$G$14,$M19,FO$13)="",10^12,OFFSET(PLE!$G$14,$M19,FO$13))))</f>
        <v>1000000000000</v>
      </c>
      <c r="FP19" s="212">
        <f ca="1">IF($D19&lt;&gt;"Serviço",0,IF(OR(AND(AUTOEVENTO="Manual",$M19=1),$M19&gt;(ROW(PLE.lastrow)-ROW(PLE.firstrow))),0,IF(OFFSET(PLE!$G$14,$M19,FP$13)="",10^12,OFFSET(PLE!$G$14,$M19,FP$13))))</f>
        <v>1000000000000</v>
      </c>
      <c r="FQ19" s="212">
        <f ca="1">IF($D19&lt;&gt;"Serviço",0,IF(OR(AND(AUTOEVENTO="Manual",$M19=1),$M19&gt;(ROW(PLE.lastrow)-ROW(PLE.firstrow))),0,IF(OFFSET(PLE!$G$14,$M19,FQ$13)="",10^12,OFFSET(PLE!$G$14,$M19,FQ$13))))</f>
        <v>1000000000000</v>
      </c>
      <c r="FR19" s="212">
        <f ca="1">IF($D19&lt;&gt;"Serviço",0,IF(OR(AND(AUTOEVENTO="Manual",$M19=1),$M19&gt;(ROW(PLE.lastrow)-ROW(PLE.firstrow))),0,IF(OFFSET(PLE!$G$14,$M19,FR$13)="",10^12,OFFSET(PLE!$G$14,$M19,FR$13))))</f>
        <v>1000000000000</v>
      </c>
      <c r="FS19" s="212">
        <f ca="1">IF($D19&lt;&gt;"Serviço",0,IF(OR(AND(AUTOEVENTO="Manual",$M19=1),$M19&gt;(ROW(PLE.lastrow)-ROW(PLE.firstrow))),0,IF(OFFSET(PLE!$G$14,$M19,FS$13)="",10^12,OFFSET(PLE!$G$14,$M19,FS$13))))</f>
        <v>1000000000000</v>
      </c>
      <c r="FT19" s="212">
        <f ca="1">IF($D19&lt;&gt;"Serviço",0,IF(OR(AND(AUTOEVENTO="Manual",$M19=1),$M19&gt;(ROW(PLE.lastrow)-ROW(PLE.firstrow))),0,IF(OFFSET(PLE!$G$14,$M19,FT$13)="",10^12,OFFSET(PLE!$G$14,$M19,FT$13))))</f>
        <v>1000000000000</v>
      </c>
      <c r="FU19" s="212">
        <f ca="1">IF($D19&lt;&gt;"Serviço",0,IF(OR(AND(AUTOEVENTO="Manual",$M19=1),$M19&gt;(ROW(PLE.lastrow)-ROW(PLE.firstrow))),0,IF(OFFSET(PLE!$G$14,$M19,FU$13)="",10^12,OFFSET(PLE!$G$14,$M19,FU$13))))</f>
        <v>1000000000000</v>
      </c>
      <c r="FV19" s="212">
        <f ca="1">IF($D19&lt;&gt;"Serviço",0,IF(OR(AND(AUTOEVENTO="Manual",$M19=1),$M19&gt;(ROW(PLE.lastrow)-ROW(PLE.firstrow))),0,IF(OFFSET(PLE!$G$14,$M19,FV$13)="",10^12,OFFSET(PLE!$G$14,$M19,FV$13))))</f>
        <v>1000000000000</v>
      </c>
      <c r="FW19" s="212">
        <f ca="1">IF($D19&lt;&gt;"Serviço",0,IF(OR(AND(AUTOEVENTO="Manual",$M19=1),$M19&gt;(ROW(PLE.lastrow)-ROW(PLE.firstrow))),0,IF(OFFSET(PLE!$G$14,$M19,FW$13)="",10^12,OFFSET(PLE!$G$14,$M19,FW$13))))</f>
        <v>1000000000000</v>
      </c>
      <c r="FX19" s="212">
        <f ca="1">IF($D19&lt;&gt;"Serviço",0,IF(OR(AND(AUTOEVENTO="Manual",$M19=1),$M19&gt;(ROW(PLE.lastrow)-ROW(PLE.firstrow))),0,IF(OFFSET(PLE!$G$14,$M19,FX$13)="",10^12,OFFSET(PLE!$G$14,$M19,FX$13))))</f>
        <v>1000000000000</v>
      </c>
      <c r="FY19" s="212">
        <f ca="1">IF($D19&lt;&gt;"Serviço",0,IF(OR(AND(AUTOEVENTO="Manual",$M19=1),$M19&gt;(ROW(PLE.lastrow)-ROW(PLE.firstrow))),0,IF(OFFSET(PLE!$G$14,$M19,FY$13)="",10^12,OFFSET(PLE!$G$14,$M19,FY$13))))</f>
        <v>1000000000000</v>
      </c>
      <c r="FZ19" s="212">
        <f ca="1">IF($D19&lt;&gt;"Serviço",0,IF(OR(AND(AUTOEVENTO="Manual",$M19=1),$M19&gt;(ROW(PLE.lastrow)-ROW(PLE.firstrow))),0,IF(OFFSET(PLE!$G$14,$M19,FZ$13)="",10^12,OFFSET(PLE!$G$14,$M19,FZ$13))))</f>
        <v>1000000000000</v>
      </c>
      <c r="GA19" s="212">
        <f ca="1">IF($D19&lt;&gt;"Serviço",0,IF(OR(AND(AUTOEVENTO="Manual",$M19=1),$M19&gt;(ROW(PLE.lastrow)-ROW(PLE.firstrow))),0,IF(OFFSET(PLE!$G$14,$M19,GA$13)="",10^12,OFFSET(PLE!$G$14,$M19,GA$13))))</f>
        <v>1000000000000</v>
      </c>
      <c r="GB19" s="212">
        <f ca="1">IF($D19&lt;&gt;"Serviço",0,IF(OR(AND(AUTOEVENTO="Manual",$M19=1),$M19&gt;(ROW(PLE.lastrow)-ROW(PLE.firstrow))),0,IF(OFFSET(PLE!$G$14,$M19,GB$13)="",10^12,OFFSET(PLE!$G$14,$M19,GB$13))))</f>
        <v>1000000000000</v>
      </c>
      <c r="GC19" s="212">
        <f ca="1">IF($D19&lt;&gt;"Serviço",0,IF(OR(AND(AUTOEVENTO="Manual",$M19=1),$M19&gt;(ROW(PLE.lastrow)-ROW(PLE.firstrow))),0,IF(OFFSET(PLE!$G$14,$M19,GC$13)="",10^12,OFFSET(PLE!$G$14,$M19,GC$13))))</f>
        <v>1000000000000</v>
      </c>
      <c r="GD19" s="212">
        <f ca="1">IF($D19&lt;&gt;"Serviço",0,IF(OR(AND(AUTOEVENTO="Manual",$M19=1),$M19&gt;(ROW(PLE.lastrow)-ROW(PLE.firstrow))),0,IF(OFFSET(PLE!$G$14,$M19,GD$13)="",10^12,OFFSET(PLE!$G$14,$M19,GD$13))))</f>
        <v>1000000000000</v>
      </c>
      <c r="GE19" s="212">
        <f ca="1">IF($D19&lt;&gt;"Serviço",0,IF(OR(AND(AUTOEVENTO="Manual",$M19=1),$M19&gt;(ROW(PLE.lastrow)-ROW(PLE.firstrow))),0,IF(OFFSET(PLE!$G$14,$M19,GE$13)="",10^12,OFFSET(PLE!$G$14,$M19,GE$13))))</f>
        <v>1000000000000</v>
      </c>
      <c r="GF19" s="212">
        <f ca="1">IF($D19&lt;&gt;"Serviço",0,IF(OR(AND(AUTOEVENTO="Manual",$M19=1),$M19&gt;(ROW(PLE.lastrow)-ROW(PLE.firstrow))),0,IF(OFFSET(PLE!$G$14,$M19,GF$13)="",10^12,OFFSET(PLE!$G$14,$M19,GF$13))))</f>
        <v>1000000000000</v>
      </c>
      <c r="GG19" s="212">
        <f ca="1">IF($D19&lt;&gt;"Serviço",0,IF(OR(AND(AUTOEVENTO="Manual",$M19=1),$M19&gt;(ROW(PLE.lastrow)-ROW(PLE.firstrow))),0,IF(OFFSET(PLE!$G$14,$M19,GG$13)="",10^12,OFFSET(PLE!$G$14,$M19,GG$13))))</f>
        <v>1000000000000</v>
      </c>
      <c r="GH19" s="212">
        <f ca="1">IF($D19&lt;&gt;"Serviço",0,IF(OR(AND(AUTOEVENTO="Manual",$M19=1),$M19&gt;(ROW(PLE.lastrow)-ROW(PLE.firstrow))),0,IF(OFFSET(PLE!$G$14,$M19,GH$13)="",10^12,OFFSET(PLE!$G$14,$M19,GH$13))))</f>
        <v>1000000000000</v>
      </c>
      <c r="GI19" s="212">
        <f ca="1">IF($D19&lt;&gt;"Serviço",0,IF(OR(AND(AUTOEVENTO="Manual",$M19=1),$M19&gt;(ROW(PLE.lastrow)-ROW(PLE.firstrow))),0,IF(OFFSET(PLE!$G$14,$M19,GI$13)="",10^12,OFFSET(PLE!$G$14,$M19,GI$13))))</f>
        <v>1000000000000</v>
      </c>
      <c r="GJ19" s="212">
        <f ca="1">IF($D19&lt;&gt;"Serviço",0,IF(OR(AND(AUTOEVENTO="Manual",$M19=1),$M19&gt;(ROW(PLE.lastrow)-ROW(PLE.firstrow))),0,IF(OFFSET(PLE!$G$14,$M19,GJ$13)="",10^12,OFFSET(PLE!$G$14,$M19,GJ$13))))</f>
        <v>1000000000000</v>
      </c>
      <c r="GK19" s="212">
        <f ca="1">IF($D19&lt;&gt;"Serviço",0,IF(OR(AND(AUTOEVENTO="Manual",$M19=1),$M19&gt;(ROW(PLE.lastrow)-ROW(PLE.firstrow))),0,IF(OFFSET(PLE!$G$14,$M19,GK$13)="",10^12,OFFSET(PLE!$G$14,$M19,GK$13))))</f>
        <v>1000000000000</v>
      </c>
      <c r="GL19" s="212">
        <f ca="1">IF($D19&lt;&gt;"Serviço",0,IF(OR(AND(AUTOEVENTO="Manual",$M19=1),$M19&gt;(ROW(PLE.lastrow)-ROW(PLE.firstrow))),0,IF(OFFSET(PLE!$G$14,$M19,GL$13)="",10^12,OFFSET(PLE!$G$14,$M19,GL$13))))</f>
        <v>1000000000000</v>
      </c>
      <c r="GM19" s="212">
        <f ca="1">IF($D19&lt;&gt;"Serviço",0,IF(OR(AND(AUTOEVENTO="Manual",$M19=1),$M19&gt;(ROW(PLE.lastrow)-ROW(PLE.firstrow))),0,IF(OFFSET(PLE!$G$14,$M19,GM$13)="",10^12,OFFSET(PLE!$G$14,$M19,GM$13))))</f>
        <v>1000000000000</v>
      </c>
      <c r="GN19" s="212">
        <f ca="1">IF($D19&lt;&gt;"Serviço",0,IF(OR(AND(AUTOEVENTO="Manual",$M19=1),$M19&gt;(ROW(PLE.lastrow)-ROW(PLE.firstrow))),0,IF(OFFSET(PLE!$G$14,$M19,GN$13)="",10^12,OFFSET(PLE!$G$14,$M19,GN$13))))</f>
        <v>1000000000000</v>
      </c>
      <c r="GO19" s="212">
        <f ca="1">IF($D19&lt;&gt;"Serviço",0,IF(OR(AND(AUTOEVENTO="Manual",$M19=1),$M19&gt;(ROW(PLE.lastrow)-ROW(PLE.firstrow))),0,IF(OFFSET(PLE!$G$14,$M19,GO$13)="",10^12,OFFSET(PLE!$G$14,$M19,GO$13))))</f>
        <v>1000000000000</v>
      </c>
      <c r="GP19" s="212">
        <f ca="1">IF($D19&lt;&gt;"Serviço",0,IF(OR(AND(AUTOEVENTO="Manual",$M19=1),$M19&gt;(ROW(PLE.lastrow)-ROW(PLE.firstrow))),0,IF(OFFSET(PLE!$G$14,$M19,GP$13)="",10^12,OFFSET(PLE!$G$14,$M19,GP$13))))</f>
        <v>1000000000000</v>
      </c>
      <c r="GQ19" s="212">
        <f ca="1">IF($D19&lt;&gt;"Serviço",0,IF(OR(AND(AUTOEVENTO="Manual",$M19=1),$M19&gt;(ROW(PLE.lastrow)-ROW(PLE.firstrow))),0,IF(OFFSET(PLE!$G$14,$M19,GQ$13)="",10^12,OFFSET(PLE!$G$14,$M19,GQ$13))))</f>
        <v>1000000000000</v>
      </c>
      <c r="GR19" s="212">
        <f ca="1">IF($D19&lt;&gt;"Serviço",0,IF(OR(AND(AUTOEVENTO="Manual",$M19=1),$M19&gt;(ROW(PLE.lastrow)-ROW(PLE.firstrow))),0,IF(OFFSET(PLE!$G$14,$M19,GR$13)="",10^12,OFFSET(PLE!$G$14,$M19,GR$13))))</f>
        <v>1000000000000</v>
      </c>
      <c r="GS19" s="212">
        <f ca="1">IF($D19&lt;&gt;"Serviço",0,IF(OR(AND(AUTOEVENTO="Manual",$M19=1),$M19&gt;(ROW(PLE.lastrow)-ROW(PLE.firstrow))),0,IF(OFFSET(PLE!$G$14,$M19,GS$13)="",10^12,OFFSET(PLE!$G$14,$M19,GS$13))))</f>
        <v>1000000000000</v>
      </c>
      <c r="GT19" s="212">
        <f ca="1">IF($D19&lt;&gt;"Serviço",0,IF(OR(AND(AUTOEVENTO="Manual",$M19=1),$M19&gt;(ROW(PLE.lastrow)-ROW(PLE.firstrow))),0,IF(OFFSET(PLE!$G$14,$M19,GT$13)="",10^12,OFFSET(PLE!$G$14,$M19,GT$13))))</f>
        <v>1000000000000</v>
      </c>
      <c r="GU19" s="212">
        <f ca="1">IF($D19&lt;&gt;"Serviço",0,IF(OR(AND(AUTOEVENTO="Manual",$M19=1),$M19&gt;(ROW(PLE.lastrow)-ROW(PLE.firstrow))),0,IF(OFFSET(PLE!$G$14,$M19,GU$13)="",10^12,OFFSET(PLE!$G$14,$M19,GU$13))))</f>
        <v>1000000000000</v>
      </c>
      <c r="GV19" s="212">
        <f ca="1">IF($D19&lt;&gt;"Serviço",0,IF(OR(AND(AUTOEVENTO="Manual",$M19=1),$M19&gt;(ROW(PLE.lastrow)-ROW(PLE.firstrow))),0,IF(OFFSET(PLE!$G$14,$M19,GV$13)="",10^12,OFFSET(PLE!$G$14,$M19,GV$13))))</f>
        <v>1000000000000</v>
      </c>
      <c r="GW19" s="212">
        <f ca="1">IF($D19&lt;&gt;"Serviço",0,IF(OR(AND(AUTOEVENTO="Manual",$M19=1),$M19&gt;(ROW(PLE.lastrow)-ROW(PLE.firstrow))),0,IF(OFFSET(PLE!$G$14,$M19,GW$13)="",10^12,OFFSET(PLE!$G$14,$M19,GW$13))))</f>
        <v>1000000000000</v>
      </c>
      <c r="GX19" s="212">
        <f ca="1">IF($D19&lt;&gt;"Serviço",0,IF(OR(AND(AUTOEVENTO="Manual",$M19=1),$M19&gt;(ROW(PLE.lastrow)-ROW(PLE.firstrow))),0,IF(OFFSET(PLE!$G$14,$M19,GX$13)="",10^12,OFFSET(PLE!$G$14,$M19,GX$13))))</f>
        <v>1000000000000</v>
      </c>
      <c r="GY19" s="212">
        <f ca="1">IF($D19&lt;&gt;"Serviço",0,IF(OR(AND(AUTOEVENTO="Manual",$M19=1),$M19&gt;(ROW(PLE.lastrow)-ROW(PLE.firstrow))),0,IF(OFFSET(PLE!$G$14,$M19,GY$13)="",10^12,OFFSET(PLE!$G$14,$M19,GY$13))))</f>
        <v>1000000000000</v>
      </c>
      <c r="GZ19" s="212">
        <f ca="1">IF($D19&lt;&gt;"Serviço",0,IF(OR(AND(AUTOEVENTO="Manual",$M19=1),$M19&gt;(ROW(PLE.lastrow)-ROW(PLE.firstrow))),0,IF(OFFSET(PLE!$G$14,$M19,GZ$13)="",10^12,OFFSET(PLE!$G$14,$M19,GZ$13))))</f>
        <v>1000000000000</v>
      </c>
      <c r="HA19" s="212">
        <f ca="1">IF($D19&lt;&gt;"Serviço",0,IF(OR(AND(AUTOEVENTO="Manual",$M19=1),$M19&gt;(ROW(PLE.lastrow)-ROW(PLE.firstrow))),0,IF(OFFSET(PLE!$G$14,$M19,HA$13)="",10^12,OFFSET(PLE!$G$14,$M19,HA$13))))</f>
        <v>1000000000000</v>
      </c>
      <c r="HB19" s="212">
        <f ca="1">IF($D19&lt;&gt;"Serviço",0,IF(OR(AND(AUTOEVENTO="Manual",$M19=1),$M19&gt;(ROW(PLE.lastrow)-ROW(PLE.firstrow))),0,IF(OFFSET(PLE!$G$14,$M19,HB$13)="",10^12,OFFSET(PLE!$G$14,$M19,HB$13))))</f>
        <v>1000000000000</v>
      </c>
      <c r="HC19" s="212">
        <f ca="1">IF($D19&lt;&gt;"Serviço",0,IF(OR(AND(AUTOEVENTO="Manual",$M19=1),$M19&gt;(ROW(PLE.lastrow)-ROW(PLE.firstrow))),0,IF(OFFSET(PLE!$G$14,$M19,HC$13)="",10^12,OFFSET(PLE!$G$14,$M19,HC$13))))</f>
        <v>1000000000000</v>
      </c>
      <c r="HD19" s="212">
        <f ca="1">IF($D19&lt;&gt;"Serviço",0,IF(OR(AND(AUTOEVENTO="Manual",$M19=1),$M19&gt;(ROW(PLE.lastrow)-ROW(PLE.firstrow))),0,IF(OFFSET(PLE!$G$14,$M19,HD$13)="",10^12,OFFSET(PLE!$G$14,$M19,HD$13))))</f>
        <v>1000000000000</v>
      </c>
      <c r="HE19" s="212">
        <f ca="1">IF($D19&lt;&gt;"Serviço",0,IF(OR(AND(AUTOEVENTO="Manual",$M19=1),$M19&gt;(ROW(PLE.lastrow)-ROW(PLE.firstrow))),0,IF(OFFSET(PLE!$G$14,$M19,HE$13)="",10^12,OFFSET(PLE!$G$14,$M19,HE$13))))</f>
        <v>1000000000000</v>
      </c>
      <c r="HF19" s="212">
        <f ca="1">IF($D19&lt;&gt;"Serviço",0,IF(OR(AND(AUTOEVENTO="Manual",$M19=1),$M19&gt;(ROW(PLE.lastrow)-ROW(PLE.firstrow))),0,IF(OFFSET(PLE!$G$14,$M19,HF$13)="",10^12,OFFSET(PLE!$G$14,$M19,HF$13))))</f>
        <v>1000000000000</v>
      </c>
      <c r="HG19" s="212">
        <f ca="1">IF($D19&lt;&gt;"Serviço",0,IF(OR(AND(AUTOEVENTO="Manual",$M19=1),$M19&gt;(ROW(PLE.lastrow)-ROW(PLE.firstrow))),0,IF(OFFSET(PLE!$G$14,$M19,HG$13)="",10^12,OFFSET(PLE!$G$14,$M19,HG$13))))</f>
        <v>1000000000000</v>
      </c>
      <c r="HH19" s="212">
        <f ca="1">IF($D19&lt;&gt;"Serviço",0,IF(OR(AND(AUTOEVENTO="Manual",$M19=1),$M19&gt;(ROW(PLE.lastrow)-ROW(PLE.firstrow))),0,IF(OFFSET(PLE!$G$14,$M19,HH$13)="",10^12,OFFSET(PLE!$G$14,$M19,HH$13))))</f>
        <v>1000000000000</v>
      </c>
      <c r="HI19" s="212">
        <f ca="1">IF($D19&lt;&gt;"Serviço",0,IF(OR(AND(AUTOEVENTO="Manual",$M19=1),$M19&gt;(ROW(PLE.lastrow)-ROW(PLE.firstrow))),0,IF(OFFSET(PLE!$G$14,$M19,HI$13)="",10^12,OFFSET(PLE!$G$14,$M19,HI$13))))</f>
        <v>1000000000000</v>
      </c>
      <c r="HJ19" s="212">
        <f ca="1">IF($D19&lt;&gt;"Serviço",0,IF(OR(AND(AUTOEVENTO="Manual",$M19=1),$M19&gt;(ROW(PLE.lastrow)-ROW(PLE.firstrow))),0,IF(OFFSET(PLE!$G$14,$M19,HJ$13)="",10^12,OFFSET(PLE!$G$14,$M19,HJ$13))))</f>
        <v>1000000000000</v>
      </c>
      <c r="HK19" s="212">
        <f ca="1">IF($D19&lt;&gt;"Serviço",0,IF(OR(AND(AUTOEVENTO="Manual",$M19=1),$M19&gt;(ROW(PLE.lastrow)-ROW(PLE.firstrow))),0,IF(OFFSET(PLE!$G$14,$M19,HK$13)="",10^12,OFFSET(PLE!$G$14,$M19,HK$13))))</f>
        <v>1000000000000</v>
      </c>
    </row>
    <row r="20" spans="1:219" ht="12.75" x14ac:dyDescent="0.2">
      <c r="A20" s="9" t="str">
        <f t="shared" ca="1" si="9"/>
        <v>5.</v>
      </c>
      <c r="B20" s="9">
        <f ca="1">OFFSET(ORÇAMENTO!C$15,ROW(B20)-ROW(B$15),0)</f>
        <v>2</v>
      </c>
      <c r="C20" s="9" t="str">
        <f ca="1">OFFSET(ORÇAMENTO!L$15,ROW(C20)-ROW(C$15),0)</f>
        <v>F</v>
      </c>
      <c r="D20" s="141" t="str">
        <f ca="1">OFFSET(ORÇAMENTO!N$15,ROW(D20)-ROW(D$15),0)</f>
        <v>Nível 2</v>
      </c>
      <c r="E20" s="201" t="str">
        <f ca="1">OFFSET(ORÇAMENTO!O$15,ROW(E20)-ROW(E$15),0)</f>
        <v>1.2.</v>
      </c>
      <c r="F20" s="202" t="str">
        <f ca="1">OFFSET(ORÇAMENTO!R$15,ROW(F20)-ROW(F$15),0)</f>
        <v>ADMINISTRAÇÃO LOCAL</v>
      </c>
      <c r="G20" s="203" t="str">
        <f ca="1">IF($D20&lt;&gt;"Serviço","",OFFSET(ORÇAMENTO!S$15,ROW(G20)-ROW(G$15),0))</f>
        <v/>
      </c>
      <c r="H20" s="147">
        <f ca="1">IF($D20&lt;&gt;"Serviço",0,IF(ACOMPANHAMENTO="BM",ROUND(OFFSET(ORÇAMENTO!AJ$15,ROW(H20)-ROW(H$15),0),15-13*ORÇAMENTO!$AF$7),SUMPRODUCT(($Q$12:$BO$12&lt;&gt;"")*ROUND($Q20:$BO20,15-13*ORÇAMENTO!$AF$7))))</f>
        <v>0</v>
      </c>
      <c r="I20" s="646"/>
      <c r="K20" s="204"/>
      <c r="L20" s="205" t="s">
        <v>257</v>
      </c>
      <c r="M20" s="206" t="str">
        <f ca="1">IF($D20&lt;&gt;"Serviço","",IF(AUTOEVENTO="manual",$A20,IF(ISERROR(MATCH($A20,$A$15:OFFSET($A20,-1,0),0)),MAX($M$15:OFFSET(M20,-1,0))+1,INDEX($M$15:OFFSET(M20,-1,0),MATCH($A20,$A$15:OFFSET($A20,-1,0),0)))))</f>
        <v/>
      </c>
      <c r="N20" s="207" t="str">
        <f ca="1">IF($D20&lt;&gt;"Serviço","",IF(AUTOEVENTO="Manual",IF($A20=0,"&lt;-- defina o número do agrupador",OFFSET(EVENTOS!$D$14,$A20,0)),OFFSET($F$15,$A20,0)))</f>
        <v/>
      </c>
      <c r="O20" s="208"/>
      <c r="Q20" s="208"/>
      <c r="R20" s="209"/>
      <c r="S20" s="209"/>
      <c r="T20" s="209"/>
      <c r="U20" s="209"/>
      <c r="V20" s="209"/>
      <c r="W20" s="209"/>
      <c r="X20" s="209"/>
      <c r="Y20" s="209"/>
      <c r="Z20" s="210"/>
      <c r="AA20" s="209"/>
      <c r="AB20" s="209"/>
      <c r="AC20" s="209"/>
      <c r="AD20" s="209"/>
      <c r="AE20" s="209"/>
      <c r="AF20" s="209"/>
      <c r="AG20" s="209"/>
      <c r="AH20" s="210"/>
      <c r="AI20" s="209"/>
      <c r="AJ20" s="209"/>
      <c r="AK20" s="209"/>
      <c r="AL20" s="209"/>
      <c r="AM20" s="209"/>
      <c r="AN20" s="209"/>
      <c r="AO20" s="209"/>
      <c r="AP20" s="210"/>
      <c r="AQ20" s="209"/>
      <c r="AR20" s="209"/>
      <c r="AS20" s="209"/>
      <c r="AT20" s="209"/>
      <c r="AU20" s="209"/>
      <c r="AV20" s="209"/>
      <c r="AW20" s="209"/>
      <c r="AX20" s="210"/>
      <c r="AY20" s="209"/>
      <c r="AZ20" s="209"/>
      <c r="BA20" s="209"/>
      <c r="BB20" s="209"/>
      <c r="BC20" s="209"/>
      <c r="BD20" s="209"/>
      <c r="BE20" s="209"/>
      <c r="BF20" s="210"/>
      <c r="BG20" s="209"/>
      <c r="BH20" s="209"/>
      <c r="BI20" s="209"/>
      <c r="BJ20" s="209"/>
      <c r="BK20" s="209"/>
      <c r="BL20" s="209"/>
      <c r="BM20" s="209"/>
      <c r="BN20" s="210"/>
      <c r="BP20" s="627">
        <f ca="1">IF(AND($D20="Serviço",BP$12&lt;&gt;0,$H20&gt;0,OR(AUTOEVENTO&lt;&gt;"manual",$M20&lt;&gt;1)),ROUND(OFFSET($P20,0,BP$13),15-13*ORÇAMENTO!$AF$7)/$H20*OFFSET(ORÇAMENTO!$X$15,ROW(BP20)-ROW(BP$15),0),0)</f>
        <v>0</v>
      </c>
      <c r="BQ20" s="628">
        <f ca="1">IF(AND($D20="Serviço",BQ$12&lt;&gt;0,$H20&gt;0,OR(AUTOEVENTO&lt;&gt;"manual",$M20&lt;&gt;1)),ROUND(OFFSET($P20,0,BQ$13),15-13*ORÇAMENTO!$AF$7)/$H20*OFFSET(ORÇAMENTO!$X$15,ROW(BQ20)-ROW(BQ$15),0),0)</f>
        <v>0</v>
      </c>
      <c r="BR20" s="628">
        <f ca="1">IF(AND($D20="Serviço",BR$12&lt;&gt;0,$H20&gt;0,OR(AUTOEVENTO&lt;&gt;"manual",$M20&lt;&gt;1)),ROUND(OFFSET($P20,0,BR$13),15-13*ORÇAMENTO!$AF$7)/$H20*OFFSET(ORÇAMENTO!$X$15,ROW(BR20)-ROW(BR$15),0),0)</f>
        <v>0</v>
      </c>
      <c r="BS20" s="628">
        <f ca="1">IF(AND($D20="Serviço",BS$12&lt;&gt;0,$H20&gt;0,OR(AUTOEVENTO&lt;&gt;"manual",$M20&lt;&gt;1)),ROUND(OFFSET($P20,0,BS$13),15-13*ORÇAMENTO!$AF$7)/$H20*OFFSET(ORÇAMENTO!$X$15,ROW(BS20)-ROW(BS$15),0),0)</f>
        <v>0</v>
      </c>
      <c r="BT20" s="628">
        <f ca="1">IF(AND($D20="Serviço",BT$12&lt;&gt;0,$H20&gt;0,OR(AUTOEVENTO&lt;&gt;"manual",$M20&lt;&gt;1)),ROUND(OFFSET($P20,0,BT$13),15-13*ORÇAMENTO!$AF$7)/$H20*OFFSET(ORÇAMENTO!$X$15,ROW(BT20)-ROW(BT$15),0),0)</f>
        <v>0</v>
      </c>
      <c r="BU20" s="628">
        <f ca="1">IF(AND($D20="Serviço",BU$12&lt;&gt;0,$H20&gt;0,OR(AUTOEVENTO&lt;&gt;"manual",$M20&lt;&gt;1)),ROUND(OFFSET($P20,0,BU$13),15-13*ORÇAMENTO!$AF$7)/$H20*OFFSET(ORÇAMENTO!$X$15,ROW(BU20)-ROW(BU$15),0),0)</f>
        <v>0</v>
      </c>
      <c r="BV20" s="628">
        <f ca="1">IF(AND($D20="Serviço",BV$12&lt;&gt;0,$H20&gt;0,OR(AUTOEVENTO&lt;&gt;"manual",$M20&lt;&gt;1)),ROUND(OFFSET($P20,0,BV$13),15-13*ORÇAMENTO!$AF$7)/$H20*OFFSET(ORÇAMENTO!$X$15,ROW(BV20)-ROW(BV$15),0),0)</f>
        <v>0</v>
      </c>
      <c r="BW20" s="628">
        <f ca="1">IF(AND($D20="Serviço",BW$12&lt;&gt;0,$H20&gt;0,OR(AUTOEVENTO&lt;&gt;"manual",$M20&lt;&gt;1)),ROUND(OFFSET($P20,0,BW$13),15-13*ORÇAMENTO!$AF$7)/$H20*OFFSET(ORÇAMENTO!$X$15,ROW(BW20)-ROW(BW$15),0),0)</f>
        <v>0</v>
      </c>
      <c r="BX20" s="628">
        <f ca="1">IF(AND($D20="Serviço",BX$12&lt;&gt;0,$H20&gt;0,OR(AUTOEVENTO&lt;&gt;"manual",$M20&lt;&gt;1)),ROUND(OFFSET($P20,0,BX$13),15-13*ORÇAMENTO!$AF$7)/$H20*OFFSET(ORÇAMENTO!$X$15,ROW(BX20)-ROW(BX$15),0),0)</f>
        <v>0</v>
      </c>
      <c r="BY20" s="629">
        <f ca="1">IF(AND($D20="Serviço",BY$12&lt;&gt;0,$H20&gt;0,OR(AUTOEVENTO&lt;&gt;"manual",$M20&lt;&gt;1)),ROUND(OFFSET($P20,0,BY$13),15-13*ORÇAMENTO!$AF$7)/$H20*OFFSET(ORÇAMENTO!$X$15,ROW(BY20)-ROW(BY$15),0),0)</f>
        <v>0</v>
      </c>
      <c r="BZ20" s="628">
        <f ca="1">IF(AND($D20="Serviço",BZ$12&lt;&gt;0,$H20&gt;0,OR(AUTOEVENTO&lt;&gt;"manual",$M20&lt;&gt;1)),ROUND(OFFSET($P20,0,BZ$13),15-13*ORÇAMENTO!$AF$7)/$H20*OFFSET(ORÇAMENTO!$X$15,ROW(BZ20)-ROW(BZ$15),0),0)</f>
        <v>0</v>
      </c>
      <c r="CA20" s="628">
        <f ca="1">IF(AND($D20="Serviço",CA$12&lt;&gt;0,$H20&gt;0,OR(AUTOEVENTO&lt;&gt;"manual",$M20&lt;&gt;1)),ROUND(OFFSET($P20,0,CA$13),15-13*ORÇAMENTO!$AF$7)/$H20*OFFSET(ORÇAMENTO!$X$15,ROW(CA20)-ROW(CA$15),0),0)</f>
        <v>0</v>
      </c>
      <c r="CB20" s="628">
        <f ca="1">IF(AND($D20="Serviço",CB$12&lt;&gt;0,$H20&gt;0,OR(AUTOEVENTO&lt;&gt;"manual",$M20&lt;&gt;1)),ROUND(OFFSET($P20,0,CB$13),15-13*ORÇAMENTO!$AF$7)/$H20*OFFSET(ORÇAMENTO!$X$15,ROW(CB20)-ROW(CB$15),0),0)</f>
        <v>0</v>
      </c>
      <c r="CC20" s="628">
        <f ca="1">IF(AND($D20="Serviço",CC$12&lt;&gt;0,$H20&gt;0,OR(AUTOEVENTO&lt;&gt;"manual",$M20&lt;&gt;1)),ROUND(OFFSET($P20,0,CC$13),15-13*ORÇAMENTO!$AF$7)/$H20*OFFSET(ORÇAMENTO!$X$15,ROW(CC20)-ROW(CC$15),0),0)</f>
        <v>0</v>
      </c>
      <c r="CD20" s="628">
        <f ca="1">IF(AND($D20="Serviço",CD$12&lt;&gt;0,$H20&gt;0,OR(AUTOEVENTO&lt;&gt;"manual",$M20&lt;&gt;1)),ROUND(OFFSET($P20,0,CD$13),15-13*ORÇAMENTO!$AF$7)/$H20*OFFSET(ORÇAMENTO!$X$15,ROW(CD20)-ROW(CD$15),0),0)</f>
        <v>0</v>
      </c>
      <c r="CE20" s="628">
        <f ca="1">IF(AND($D20="Serviço",CE$12&lt;&gt;0,$H20&gt;0,OR(AUTOEVENTO&lt;&gt;"manual",$M20&lt;&gt;1)),ROUND(OFFSET($P20,0,CE$13),15-13*ORÇAMENTO!$AF$7)/$H20*OFFSET(ORÇAMENTO!$X$15,ROW(CE20)-ROW(CE$15),0),0)</f>
        <v>0</v>
      </c>
      <c r="CF20" s="628">
        <f ca="1">IF(AND($D20="Serviço",CF$12&lt;&gt;0,$H20&gt;0,OR(AUTOEVENTO&lt;&gt;"manual",$M20&lt;&gt;1)),ROUND(OFFSET($P20,0,CF$13),15-13*ORÇAMENTO!$AF$7)/$H20*OFFSET(ORÇAMENTO!$X$15,ROW(CF20)-ROW(CF$15),0),0)</f>
        <v>0</v>
      </c>
      <c r="CG20" s="629">
        <f ca="1">IF(AND($D20="Serviço",CG$12&lt;&gt;0,$H20&gt;0,OR(AUTOEVENTO&lt;&gt;"manual",$M20&lt;&gt;1)),ROUND(OFFSET($P20,0,CG$13),15-13*ORÇAMENTO!$AF$7)/$H20*OFFSET(ORÇAMENTO!$X$15,ROW(CG20)-ROW(CG$15),0),0)</f>
        <v>0</v>
      </c>
      <c r="CH20" s="628">
        <f ca="1">IF(AND($D20="Serviço",CH$12&lt;&gt;0,$H20&gt;0,OR(AUTOEVENTO&lt;&gt;"manual",$M20&lt;&gt;1)),ROUND(OFFSET($P20,0,CH$13),15-13*ORÇAMENTO!$AF$7)/$H20*OFFSET(ORÇAMENTO!$X$15,ROW(CH20)-ROW(CH$15),0),0)</f>
        <v>0</v>
      </c>
      <c r="CI20" s="628">
        <f ca="1">IF(AND($D20="Serviço",CI$12&lt;&gt;0,$H20&gt;0,OR(AUTOEVENTO&lt;&gt;"manual",$M20&lt;&gt;1)),ROUND(OFFSET($P20,0,CI$13),15-13*ORÇAMENTO!$AF$7)/$H20*OFFSET(ORÇAMENTO!$X$15,ROW(CI20)-ROW(CI$15),0),0)</f>
        <v>0</v>
      </c>
      <c r="CJ20" s="628">
        <f ca="1">IF(AND($D20="Serviço",CJ$12&lt;&gt;0,$H20&gt;0,OR(AUTOEVENTO&lt;&gt;"manual",$M20&lt;&gt;1)),ROUND(OFFSET($P20,0,CJ$13),15-13*ORÇAMENTO!$AF$7)/$H20*OFFSET(ORÇAMENTO!$X$15,ROW(CJ20)-ROW(CJ$15),0),0)</f>
        <v>0</v>
      </c>
      <c r="CK20" s="628">
        <f ca="1">IF(AND($D20="Serviço",CK$12&lt;&gt;0,$H20&gt;0,OR(AUTOEVENTO&lt;&gt;"manual",$M20&lt;&gt;1)),ROUND(OFFSET($P20,0,CK$13),15-13*ORÇAMENTO!$AF$7)/$H20*OFFSET(ORÇAMENTO!$X$15,ROW(CK20)-ROW(CK$15),0),0)</f>
        <v>0</v>
      </c>
      <c r="CL20" s="628">
        <f ca="1">IF(AND($D20="Serviço",CL$12&lt;&gt;0,$H20&gt;0,OR(AUTOEVENTO&lt;&gt;"manual",$M20&lt;&gt;1)),ROUND(OFFSET($P20,0,CL$13),15-13*ORÇAMENTO!$AF$7)/$H20*OFFSET(ORÇAMENTO!$X$15,ROW(CL20)-ROW(CL$15),0),0)</f>
        <v>0</v>
      </c>
      <c r="CM20" s="628">
        <f ca="1">IF(AND($D20="Serviço",CM$12&lt;&gt;0,$H20&gt;0,OR(AUTOEVENTO&lt;&gt;"manual",$M20&lt;&gt;1)),ROUND(OFFSET($P20,0,CM$13),15-13*ORÇAMENTO!$AF$7)/$H20*OFFSET(ORÇAMENTO!$X$15,ROW(CM20)-ROW(CM$15),0),0)</f>
        <v>0</v>
      </c>
      <c r="CN20" s="628">
        <f ca="1">IF(AND($D20="Serviço",CN$12&lt;&gt;0,$H20&gt;0,OR(AUTOEVENTO&lt;&gt;"manual",$M20&lt;&gt;1)),ROUND(OFFSET($P20,0,CN$13),15-13*ORÇAMENTO!$AF$7)/$H20*OFFSET(ORÇAMENTO!$X$15,ROW(CN20)-ROW(CN$15),0),0)</f>
        <v>0</v>
      </c>
      <c r="CO20" s="629">
        <f ca="1">IF(AND($D20="Serviço",CO$12&lt;&gt;0,$H20&gt;0,OR(AUTOEVENTO&lt;&gt;"manual",$M20&lt;&gt;1)),ROUND(OFFSET($P20,0,CO$13),15-13*ORÇAMENTO!$AF$7)/$H20*OFFSET(ORÇAMENTO!$X$15,ROW(CO20)-ROW(CO$15),0),0)</f>
        <v>0</v>
      </c>
      <c r="CP20" s="628">
        <f ca="1">IF(AND($D20="Serviço",CP$12&lt;&gt;0,$H20&gt;0,OR(AUTOEVENTO&lt;&gt;"manual",$M20&lt;&gt;1)),ROUND(OFFSET($P20,0,CP$13),15-13*ORÇAMENTO!$AF$7)/$H20*OFFSET(ORÇAMENTO!$X$15,ROW(CP20)-ROW(CP$15),0),0)</f>
        <v>0</v>
      </c>
      <c r="CQ20" s="628">
        <f ca="1">IF(AND($D20="Serviço",CQ$12&lt;&gt;0,$H20&gt;0,OR(AUTOEVENTO&lt;&gt;"manual",$M20&lt;&gt;1)),ROUND(OFFSET($P20,0,CQ$13),15-13*ORÇAMENTO!$AF$7)/$H20*OFFSET(ORÇAMENTO!$X$15,ROW(CQ20)-ROW(CQ$15),0),0)</f>
        <v>0</v>
      </c>
      <c r="CR20" s="628">
        <f ca="1">IF(AND($D20="Serviço",CR$12&lt;&gt;0,$H20&gt;0,OR(AUTOEVENTO&lt;&gt;"manual",$M20&lt;&gt;1)),ROUND(OFFSET($P20,0,CR$13),15-13*ORÇAMENTO!$AF$7)/$H20*OFFSET(ORÇAMENTO!$X$15,ROW(CR20)-ROW(CR$15),0),0)</f>
        <v>0</v>
      </c>
      <c r="CS20" s="628">
        <f ca="1">IF(AND($D20="Serviço",CS$12&lt;&gt;0,$H20&gt;0,OR(AUTOEVENTO&lt;&gt;"manual",$M20&lt;&gt;1)),ROUND(OFFSET($P20,0,CS$13),15-13*ORÇAMENTO!$AF$7)/$H20*OFFSET(ORÇAMENTO!$X$15,ROW(CS20)-ROW(CS$15),0),0)</f>
        <v>0</v>
      </c>
      <c r="CT20" s="628">
        <f ca="1">IF(AND($D20="Serviço",CT$12&lt;&gt;0,$H20&gt;0,OR(AUTOEVENTO&lt;&gt;"manual",$M20&lt;&gt;1)),ROUND(OFFSET($P20,0,CT$13),15-13*ORÇAMENTO!$AF$7)/$H20*OFFSET(ORÇAMENTO!$X$15,ROW(CT20)-ROW(CT$15),0),0)</f>
        <v>0</v>
      </c>
      <c r="CU20" s="628">
        <f ca="1">IF(AND($D20="Serviço",CU$12&lt;&gt;0,$H20&gt;0,OR(AUTOEVENTO&lt;&gt;"manual",$M20&lt;&gt;1)),ROUND(OFFSET($P20,0,CU$13),15-13*ORÇAMENTO!$AF$7)/$H20*OFFSET(ORÇAMENTO!$X$15,ROW(CU20)-ROW(CU$15),0),0)</f>
        <v>0</v>
      </c>
      <c r="CV20" s="628">
        <f ca="1">IF(AND($D20="Serviço",CV$12&lt;&gt;0,$H20&gt;0,OR(AUTOEVENTO&lt;&gt;"manual",$M20&lt;&gt;1)),ROUND(OFFSET($P20,0,CV$13),15-13*ORÇAMENTO!$AF$7)/$H20*OFFSET(ORÇAMENTO!$X$15,ROW(CV20)-ROW(CV$15),0),0)</f>
        <v>0</v>
      </c>
      <c r="CW20" s="629">
        <f ca="1">IF(AND($D20="Serviço",CW$12&lt;&gt;0,$H20&gt;0,OR(AUTOEVENTO&lt;&gt;"manual",$M20&lt;&gt;1)),ROUND(OFFSET($P20,0,CW$13),15-13*ORÇAMENTO!$AF$7)/$H20*OFFSET(ORÇAMENTO!$X$15,ROW(CW20)-ROW(CW$15),0),0)</f>
        <v>0</v>
      </c>
      <c r="CX20" s="628">
        <f ca="1">IF(AND($D20="Serviço",CX$12&lt;&gt;0,$H20&gt;0,OR(AUTOEVENTO&lt;&gt;"manual",$M20&lt;&gt;1)),ROUND(OFFSET($P20,0,CX$13),15-13*ORÇAMENTO!$AF$7)/$H20*OFFSET(ORÇAMENTO!$X$15,ROW(CX20)-ROW(CX$15),0),0)</f>
        <v>0</v>
      </c>
      <c r="CY20" s="628">
        <f ca="1">IF(AND($D20="Serviço",CY$12&lt;&gt;0,$H20&gt;0,OR(AUTOEVENTO&lt;&gt;"manual",$M20&lt;&gt;1)),ROUND(OFFSET($P20,0,CY$13),15-13*ORÇAMENTO!$AF$7)/$H20*OFFSET(ORÇAMENTO!$X$15,ROW(CY20)-ROW(CY$15),0),0)</f>
        <v>0</v>
      </c>
      <c r="CZ20" s="628">
        <f ca="1">IF(AND($D20="Serviço",CZ$12&lt;&gt;0,$H20&gt;0,OR(AUTOEVENTO&lt;&gt;"manual",$M20&lt;&gt;1)),ROUND(OFFSET($P20,0,CZ$13),15-13*ORÇAMENTO!$AF$7)/$H20*OFFSET(ORÇAMENTO!$X$15,ROW(CZ20)-ROW(CZ$15),0),0)</f>
        <v>0</v>
      </c>
      <c r="DA20" s="628">
        <f ca="1">IF(AND($D20="Serviço",DA$12&lt;&gt;0,$H20&gt;0,OR(AUTOEVENTO&lt;&gt;"manual",$M20&lt;&gt;1)),ROUND(OFFSET($P20,0,DA$13),15-13*ORÇAMENTO!$AF$7)/$H20*OFFSET(ORÇAMENTO!$X$15,ROW(DA20)-ROW(DA$15),0),0)</f>
        <v>0</v>
      </c>
      <c r="DB20" s="628">
        <f ca="1">IF(AND($D20="Serviço",DB$12&lt;&gt;0,$H20&gt;0,OR(AUTOEVENTO&lt;&gt;"manual",$M20&lt;&gt;1)),ROUND(OFFSET($P20,0,DB$13),15-13*ORÇAMENTO!$AF$7)/$H20*OFFSET(ORÇAMENTO!$X$15,ROW(DB20)-ROW(DB$15),0),0)</f>
        <v>0</v>
      </c>
      <c r="DC20" s="628">
        <f ca="1">IF(AND($D20="Serviço",DC$12&lt;&gt;0,$H20&gt;0,OR(AUTOEVENTO&lt;&gt;"manual",$M20&lt;&gt;1)),ROUND(OFFSET($P20,0,DC$13),15-13*ORÇAMENTO!$AF$7)/$H20*OFFSET(ORÇAMENTO!$X$15,ROW(DC20)-ROW(DC$15),0),0)</f>
        <v>0</v>
      </c>
      <c r="DD20" s="628">
        <f ca="1">IF(AND($D20="Serviço",DD$12&lt;&gt;0,$H20&gt;0,OR(AUTOEVENTO&lt;&gt;"manual",$M20&lt;&gt;1)),ROUND(OFFSET($P20,0,DD$13),15-13*ORÇAMENTO!$AF$7)/$H20*OFFSET(ORÇAMENTO!$X$15,ROW(DD20)-ROW(DD$15),0),0)</f>
        <v>0</v>
      </c>
      <c r="DE20" s="629">
        <f ca="1">IF(AND($D20="Serviço",DE$12&lt;&gt;0,$H20&gt;0,OR(AUTOEVENTO&lt;&gt;"manual",$M20&lt;&gt;1)),ROUND(OFFSET($P20,0,DE$13),15-13*ORÇAMENTO!$AF$7)/$H20*OFFSET(ORÇAMENTO!$X$15,ROW(DE20)-ROW(DE$15),0),0)</f>
        <v>0</v>
      </c>
      <c r="DF20" s="628">
        <f ca="1">IF(AND($D20="Serviço",DF$12&lt;&gt;0,$H20&gt;0,OR(AUTOEVENTO&lt;&gt;"manual",$M20&lt;&gt;1)),ROUND(OFFSET($P20,0,DF$13),15-13*ORÇAMENTO!$AF$7)/$H20*OFFSET(ORÇAMENTO!$X$15,ROW(DF20)-ROW(DF$15),0),0)</f>
        <v>0</v>
      </c>
      <c r="DG20" s="628">
        <f ca="1">IF(AND($D20="Serviço",DG$12&lt;&gt;0,$H20&gt;0,OR(AUTOEVENTO&lt;&gt;"manual",$M20&lt;&gt;1)),ROUND(OFFSET($P20,0,DG$13),15-13*ORÇAMENTO!$AF$7)/$H20*OFFSET(ORÇAMENTO!$X$15,ROW(DG20)-ROW(DG$15),0),0)</f>
        <v>0</v>
      </c>
      <c r="DH20" s="628">
        <f ca="1">IF(AND($D20="Serviço",DH$12&lt;&gt;0,$H20&gt;0,OR(AUTOEVENTO&lt;&gt;"manual",$M20&lt;&gt;1)),ROUND(OFFSET($P20,0,DH$13),15-13*ORÇAMENTO!$AF$7)/$H20*OFFSET(ORÇAMENTO!$X$15,ROW(DH20)-ROW(DH$15),0),0)</f>
        <v>0</v>
      </c>
      <c r="DI20" s="628">
        <f ca="1">IF(AND($D20="Serviço",DI$12&lt;&gt;0,$H20&gt;0,OR(AUTOEVENTO&lt;&gt;"manual",$M20&lt;&gt;1)),ROUND(OFFSET($P20,0,DI$13),15-13*ORÇAMENTO!$AF$7)/$H20*OFFSET(ORÇAMENTO!$X$15,ROW(DI20)-ROW(DI$15),0),0)</f>
        <v>0</v>
      </c>
      <c r="DJ20" s="628">
        <f ca="1">IF(AND($D20="Serviço",DJ$12&lt;&gt;0,$H20&gt;0,OR(AUTOEVENTO&lt;&gt;"manual",$M20&lt;&gt;1)),ROUND(OFFSET($P20,0,DJ$13),15-13*ORÇAMENTO!$AF$7)/$H20*OFFSET(ORÇAMENTO!$X$15,ROW(DJ20)-ROW(DJ$15),0),0)</f>
        <v>0</v>
      </c>
      <c r="DK20" s="628">
        <f ca="1">IF(AND($D20="Serviço",DK$12&lt;&gt;0,$H20&gt;0,OR(AUTOEVENTO&lt;&gt;"manual",$M20&lt;&gt;1)),ROUND(OFFSET($P20,0,DK$13),15-13*ORÇAMENTO!$AF$7)/$H20*OFFSET(ORÇAMENTO!$X$15,ROW(DK20)-ROW(DK$15),0),0)</f>
        <v>0</v>
      </c>
      <c r="DL20" s="628">
        <f ca="1">IF(AND($D20="Serviço",DL$12&lt;&gt;0,$H20&gt;0,OR(AUTOEVENTO&lt;&gt;"manual",$M20&lt;&gt;1)),ROUND(OFFSET($P20,0,DL$13),15-13*ORÇAMENTO!$AF$7)/$H20*OFFSET(ORÇAMENTO!$X$15,ROW(DL20)-ROW(DL$15),0),0)</f>
        <v>0</v>
      </c>
      <c r="DM20" s="629">
        <f ca="1">IF(AND($D20="Serviço",DM$12&lt;&gt;0,$H20&gt;0,OR(AUTOEVENTO&lt;&gt;"manual",$M20&lt;&gt;1)),ROUND(OFFSET($P20,0,DM$13),15-13*ORÇAMENTO!$AF$7)/$H20*OFFSET(ORÇAMENTO!$X$15,ROW(DM20)-ROW(DM$15),0),0)</f>
        <v>0</v>
      </c>
      <c r="DO20" s="211">
        <f ca="1">IF($D20&lt;&gt;"Serviço",0,IF(AND(AUTOEVENTO="Manual",$M20=1),0,IF(OFFSET(CRONOPLE!$F$14,$M20,DO$13)="",10^12,OFFSET(CRONOPLE!$F$14,$M20,DO$13))))</f>
        <v>0</v>
      </c>
      <c r="DP20" s="211">
        <f ca="1">IF($D20&lt;&gt;"Serviço",0,IF(AND(AUTOEVENTO="Manual",$M20=1),0,IF(OFFSET(CRONOPLE!$F$14,$M20,DP$13)="",10^12,OFFSET(CRONOPLE!$F$14,$M20,DP$13))))</f>
        <v>0</v>
      </c>
      <c r="DQ20" s="211">
        <f ca="1">IF($D20&lt;&gt;"Serviço",0,IF(AND(AUTOEVENTO="Manual",$M20=1),0,IF(OFFSET(CRONOPLE!$F$14,$M20,DQ$13)="",10^12,OFFSET(CRONOPLE!$F$14,$M20,DQ$13))))</f>
        <v>0</v>
      </c>
      <c r="DR20" s="211">
        <f ca="1">IF($D20&lt;&gt;"Serviço",0,IF(AND(AUTOEVENTO="Manual",$M20=1),0,IF(OFFSET(CRONOPLE!$F$14,$M20,DR$13)="",10^12,OFFSET(CRONOPLE!$F$14,$M20,DR$13))))</f>
        <v>0</v>
      </c>
      <c r="DS20" s="211">
        <f ca="1">IF($D20&lt;&gt;"Serviço",0,IF(AND(AUTOEVENTO="Manual",$M20=1),0,IF(OFFSET(CRONOPLE!$F$14,$M20,DS$13)="",10^12,OFFSET(CRONOPLE!$F$14,$M20,DS$13))))</f>
        <v>0</v>
      </c>
      <c r="DT20" s="211">
        <f ca="1">IF($D20&lt;&gt;"Serviço",0,IF(AND(AUTOEVENTO="Manual",$M20=1),0,IF(OFFSET(CRONOPLE!$F$14,$M20,DT$13)="",10^12,OFFSET(CRONOPLE!$F$14,$M20,DT$13))))</f>
        <v>0</v>
      </c>
      <c r="DU20" s="211">
        <f ca="1">IF($D20&lt;&gt;"Serviço",0,IF(AND(AUTOEVENTO="Manual",$M20=1),0,IF(OFFSET(CRONOPLE!$F$14,$M20,DU$13)="",10^12,OFFSET(CRONOPLE!$F$14,$M20,DU$13))))</f>
        <v>0</v>
      </c>
      <c r="DV20" s="211">
        <f ca="1">IF($D20&lt;&gt;"Serviço",0,IF(AND(AUTOEVENTO="Manual",$M20=1),0,IF(OFFSET(CRONOPLE!$F$14,$M20,DV$13)="",10^12,OFFSET(CRONOPLE!$F$14,$M20,DV$13))))</f>
        <v>0</v>
      </c>
      <c r="DW20" s="211">
        <f ca="1">IF($D20&lt;&gt;"Serviço",0,IF(AND(AUTOEVENTO="Manual",$M20=1),0,IF(OFFSET(CRONOPLE!$F$14,$M20,DW$13)="",10^12,OFFSET(CRONOPLE!$F$14,$M20,DW$13))))</f>
        <v>0</v>
      </c>
      <c r="DX20" s="211">
        <f ca="1">IF($D20&lt;&gt;"Serviço",0,IF(AND(AUTOEVENTO="Manual",$M20=1),0,IF(OFFSET(CRONOPLE!$F$14,$M20,DX$13)="",10^12,OFFSET(CRONOPLE!$F$14,$M20,DX$13))))</f>
        <v>0</v>
      </c>
      <c r="DY20" s="211">
        <f ca="1">IF($D20&lt;&gt;"Serviço",0,IF(AND(AUTOEVENTO="Manual",$M20=1),0,IF(OFFSET(CRONOPLE!$F$14,$M20,DY$13)="",10^12,OFFSET(CRONOPLE!$F$14,$M20,DY$13))))</f>
        <v>0</v>
      </c>
      <c r="DZ20" s="211">
        <f ca="1">IF($D20&lt;&gt;"Serviço",0,IF(AND(AUTOEVENTO="Manual",$M20=1),0,IF(OFFSET(CRONOPLE!$F$14,$M20,DZ$13)="",10^12,OFFSET(CRONOPLE!$F$14,$M20,DZ$13))))</f>
        <v>0</v>
      </c>
      <c r="EA20" s="211">
        <f ca="1">IF($D20&lt;&gt;"Serviço",0,IF(AND(AUTOEVENTO="Manual",$M20=1),0,IF(OFFSET(CRONOPLE!$F$14,$M20,EA$13)="",10^12,OFFSET(CRONOPLE!$F$14,$M20,EA$13))))</f>
        <v>0</v>
      </c>
      <c r="EB20" s="211">
        <f ca="1">IF($D20&lt;&gt;"Serviço",0,IF(AND(AUTOEVENTO="Manual",$M20=1),0,IF(OFFSET(CRONOPLE!$F$14,$M20,EB$13)="",10^12,OFFSET(CRONOPLE!$F$14,$M20,EB$13))))</f>
        <v>0</v>
      </c>
      <c r="EC20" s="211">
        <f ca="1">IF($D20&lt;&gt;"Serviço",0,IF(AND(AUTOEVENTO="Manual",$M20=1),0,IF(OFFSET(CRONOPLE!$F$14,$M20,EC$13)="",10^12,OFFSET(CRONOPLE!$F$14,$M20,EC$13))))</f>
        <v>0</v>
      </c>
      <c r="ED20" s="211">
        <f ca="1">IF($D20&lt;&gt;"Serviço",0,IF(AND(AUTOEVENTO="Manual",$M20=1),0,IF(OFFSET(CRONOPLE!$F$14,$M20,ED$13)="",10^12,OFFSET(CRONOPLE!$F$14,$M20,ED$13))))</f>
        <v>0</v>
      </c>
      <c r="EE20" s="211">
        <f ca="1">IF($D20&lt;&gt;"Serviço",0,IF(AND(AUTOEVENTO="Manual",$M20=1),0,IF(OFFSET(CRONOPLE!$F$14,$M20,EE$13)="",10^12,OFFSET(CRONOPLE!$F$14,$M20,EE$13))))</f>
        <v>0</v>
      </c>
      <c r="EF20" s="211">
        <f ca="1">IF($D20&lt;&gt;"Serviço",0,IF(AND(AUTOEVENTO="Manual",$M20=1),0,IF(OFFSET(CRONOPLE!$F$14,$M20,EF$13)="",10^12,OFFSET(CRONOPLE!$F$14,$M20,EF$13))))</f>
        <v>0</v>
      </c>
      <c r="EG20" s="211">
        <f ca="1">IF($D20&lt;&gt;"Serviço",0,IF(AND(AUTOEVENTO="Manual",$M20=1),0,IF(OFFSET(CRONOPLE!$F$14,$M20,EG$13)="",10^12,OFFSET(CRONOPLE!$F$14,$M20,EG$13))))</f>
        <v>0</v>
      </c>
      <c r="EH20" s="211">
        <f ca="1">IF($D20&lt;&gt;"Serviço",0,IF(AND(AUTOEVENTO="Manual",$M20=1),0,IF(OFFSET(CRONOPLE!$F$14,$M20,EH$13)="",10^12,OFFSET(CRONOPLE!$F$14,$M20,EH$13))))</f>
        <v>0</v>
      </c>
      <c r="EI20" s="211">
        <f ca="1">IF($D20&lt;&gt;"Serviço",0,IF(AND(AUTOEVENTO="Manual",$M20=1),0,IF(OFFSET(CRONOPLE!$F$14,$M20,EI$13)="",10^12,OFFSET(CRONOPLE!$F$14,$M20,EI$13))))</f>
        <v>0</v>
      </c>
      <c r="EJ20" s="211">
        <f ca="1">IF($D20&lt;&gt;"Serviço",0,IF(AND(AUTOEVENTO="Manual",$M20=1),0,IF(OFFSET(CRONOPLE!$F$14,$M20,EJ$13)="",10^12,OFFSET(CRONOPLE!$F$14,$M20,EJ$13))))</f>
        <v>0</v>
      </c>
      <c r="EK20" s="211">
        <f ca="1">IF($D20&lt;&gt;"Serviço",0,IF(AND(AUTOEVENTO="Manual",$M20=1),0,IF(OFFSET(CRONOPLE!$F$14,$M20,EK$13)="",10^12,OFFSET(CRONOPLE!$F$14,$M20,EK$13))))</f>
        <v>0</v>
      </c>
      <c r="EL20" s="211">
        <f ca="1">IF($D20&lt;&gt;"Serviço",0,IF(AND(AUTOEVENTO="Manual",$M20=1),0,IF(OFFSET(CRONOPLE!$F$14,$M20,EL$13)="",10^12,OFFSET(CRONOPLE!$F$14,$M20,EL$13))))</f>
        <v>0</v>
      </c>
      <c r="EM20" s="211">
        <f ca="1">IF($D20&lt;&gt;"Serviço",0,IF(AND(AUTOEVENTO="Manual",$M20=1),0,IF(OFFSET(CRONOPLE!$F$14,$M20,EM$13)="",10^12,OFFSET(CRONOPLE!$F$14,$M20,EM$13))))</f>
        <v>0</v>
      </c>
      <c r="EN20" s="211">
        <f ca="1">IF($D20&lt;&gt;"Serviço",0,IF(AND(AUTOEVENTO="Manual",$M20=1),0,IF(OFFSET(CRONOPLE!$F$14,$M20,EN$13)="",10^12,OFFSET(CRONOPLE!$F$14,$M20,EN$13))))</f>
        <v>0</v>
      </c>
      <c r="EO20" s="211">
        <f ca="1">IF($D20&lt;&gt;"Serviço",0,IF(AND(AUTOEVENTO="Manual",$M20=1),0,IF(OFFSET(CRONOPLE!$F$14,$M20,EO$13)="",10^12,OFFSET(CRONOPLE!$F$14,$M20,EO$13))))</f>
        <v>0</v>
      </c>
      <c r="EP20" s="211">
        <f ca="1">IF($D20&lt;&gt;"Serviço",0,IF(AND(AUTOEVENTO="Manual",$M20=1),0,IF(OFFSET(CRONOPLE!$F$14,$M20,EP$13)="",10^12,OFFSET(CRONOPLE!$F$14,$M20,EP$13))))</f>
        <v>0</v>
      </c>
      <c r="EQ20" s="211">
        <f ca="1">IF($D20&lt;&gt;"Serviço",0,IF(AND(AUTOEVENTO="Manual",$M20=1),0,IF(OFFSET(CRONOPLE!$F$14,$M20,EQ$13)="",10^12,OFFSET(CRONOPLE!$F$14,$M20,EQ$13))))</f>
        <v>0</v>
      </c>
      <c r="ER20" s="211">
        <f ca="1">IF($D20&lt;&gt;"Serviço",0,IF(AND(AUTOEVENTO="Manual",$M20=1),0,IF(OFFSET(CRONOPLE!$F$14,$M20,ER$13)="",10^12,OFFSET(CRONOPLE!$F$14,$M20,ER$13))))</f>
        <v>0</v>
      </c>
      <c r="ES20" s="211">
        <f ca="1">IF($D20&lt;&gt;"Serviço",0,IF(AND(AUTOEVENTO="Manual",$M20=1),0,IF(OFFSET(CRONOPLE!$F$14,$M20,ES$13)="",10^12,OFFSET(CRONOPLE!$F$14,$M20,ES$13))))</f>
        <v>0</v>
      </c>
      <c r="ET20" s="211">
        <f ca="1">IF($D20&lt;&gt;"Serviço",0,IF(AND(AUTOEVENTO="Manual",$M20=1),0,IF(OFFSET(CRONOPLE!$F$14,$M20,ET$13)="",10^12,OFFSET(CRONOPLE!$F$14,$M20,ET$13))))</f>
        <v>0</v>
      </c>
      <c r="EU20" s="211">
        <f ca="1">IF($D20&lt;&gt;"Serviço",0,IF(AND(AUTOEVENTO="Manual",$M20=1),0,IF(OFFSET(CRONOPLE!$F$14,$M20,EU$13)="",10^12,OFFSET(CRONOPLE!$F$14,$M20,EU$13))))</f>
        <v>0</v>
      </c>
      <c r="EV20" s="211">
        <f ca="1">IF($D20&lt;&gt;"Serviço",0,IF(AND(AUTOEVENTO="Manual",$M20=1),0,IF(OFFSET(CRONOPLE!$F$14,$M20,EV$13)="",10^12,OFFSET(CRONOPLE!$F$14,$M20,EV$13))))</f>
        <v>0</v>
      </c>
      <c r="EW20" s="211">
        <f ca="1">IF($D20&lt;&gt;"Serviço",0,IF(AND(AUTOEVENTO="Manual",$M20=1),0,IF(OFFSET(CRONOPLE!$F$14,$M20,EW$13)="",10^12,OFFSET(CRONOPLE!$F$14,$M20,EW$13))))</f>
        <v>0</v>
      </c>
      <c r="EX20" s="211">
        <f ca="1">IF($D20&lt;&gt;"Serviço",0,IF(AND(AUTOEVENTO="Manual",$M20=1),0,IF(OFFSET(CRONOPLE!$F$14,$M20,EX$13)="",10^12,OFFSET(CRONOPLE!$F$14,$M20,EX$13))))</f>
        <v>0</v>
      </c>
      <c r="EY20" s="211">
        <f ca="1">IF($D20&lt;&gt;"Serviço",0,IF(AND(AUTOEVENTO="Manual",$M20=1),0,IF(OFFSET(CRONOPLE!$F$14,$M20,EY$13)="",10^12,OFFSET(CRONOPLE!$F$14,$M20,EY$13))))</f>
        <v>0</v>
      </c>
      <c r="EZ20" s="211">
        <f ca="1">IF($D20&lt;&gt;"Serviço",0,IF(AND(AUTOEVENTO="Manual",$M20=1),0,IF(OFFSET(CRONOPLE!$F$14,$M20,EZ$13)="",10^12,OFFSET(CRONOPLE!$F$14,$M20,EZ$13))))</f>
        <v>0</v>
      </c>
      <c r="FA20" s="211">
        <f ca="1">IF($D20&lt;&gt;"Serviço",0,IF(AND(AUTOEVENTO="Manual",$M20=1),0,IF(OFFSET(CRONOPLE!$F$14,$M20,FA$13)="",10^12,OFFSET(CRONOPLE!$F$14,$M20,FA$13))))</f>
        <v>0</v>
      </c>
      <c r="FB20" s="211">
        <f ca="1">IF($D20&lt;&gt;"Serviço",0,IF(AND(AUTOEVENTO="Manual",$M20=1),0,IF(OFFSET(CRONOPLE!$F$14,$M20,FB$13)="",10^12,OFFSET(CRONOPLE!$F$14,$M20,FB$13))))</f>
        <v>0</v>
      </c>
      <c r="FC20" s="211">
        <f ca="1">IF($D20&lt;&gt;"Serviço",0,IF(AND(AUTOEVENTO="Manual",$M20=1),0,IF(OFFSET(CRONOPLE!$F$14,$M20,FC$13)="",10^12,OFFSET(CRONOPLE!$F$14,$M20,FC$13))))</f>
        <v>0</v>
      </c>
      <c r="FD20" s="211">
        <f ca="1">IF($D20&lt;&gt;"Serviço",0,IF(AND(AUTOEVENTO="Manual",$M20=1),0,IF(OFFSET(CRONOPLE!$F$14,$M20,FD$13)="",10^12,OFFSET(CRONOPLE!$F$14,$M20,FD$13))))</f>
        <v>0</v>
      </c>
      <c r="FE20" s="211">
        <f ca="1">IF($D20&lt;&gt;"Serviço",0,IF(AND(AUTOEVENTO="Manual",$M20=1),0,IF(OFFSET(CRONOPLE!$F$14,$M20,FE$13)="",10^12,OFFSET(CRONOPLE!$F$14,$M20,FE$13))))</f>
        <v>0</v>
      </c>
      <c r="FF20" s="211">
        <f ca="1">IF($D20&lt;&gt;"Serviço",0,IF(AND(AUTOEVENTO="Manual",$M20=1),0,IF(OFFSET(CRONOPLE!$F$14,$M20,FF$13)="",10^12,OFFSET(CRONOPLE!$F$14,$M20,FF$13))))</f>
        <v>0</v>
      </c>
      <c r="FG20" s="211">
        <f ca="1">IF($D20&lt;&gt;"Serviço",0,IF(AND(AUTOEVENTO="Manual",$M20=1),0,IF(OFFSET(CRONOPLE!$F$14,$M20,FG$13)="",10^12,OFFSET(CRONOPLE!$F$14,$M20,FG$13))))</f>
        <v>0</v>
      </c>
      <c r="FH20" s="211">
        <f ca="1">IF($D20&lt;&gt;"Serviço",0,IF(AND(AUTOEVENTO="Manual",$M20=1),0,IF(OFFSET(CRONOPLE!$F$14,$M20,FH$13)="",10^12,OFFSET(CRONOPLE!$F$14,$M20,FH$13))))</f>
        <v>0</v>
      </c>
      <c r="FI20" s="211">
        <f ca="1">IF($D20&lt;&gt;"Serviço",0,IF(AND(AUTOEVENTO="Manual",$M20=1),0,IF(OFFSET(CRONOPLE!$F$14,$M20,FI$13)="",10^12,OFFSET(CRONOPLE!$F$14,$M20,FI$13))))</f>
        <v>0</v>
      </c>
      <c r="FJ20" s="211">
        <f ca="1">IF($D20&lt;&gt;"Serviço",0,IF(AND(AUTOEVENTO="Manual",$M20=1),0,IF(OFFSET(CRONOPLE!$F$14,$M20,FJ$13)="",10^12,OFFSET(CRONOPLE!$F$14,$M20,FJ$13))))</f>
        <v>0</v>
      </c>
      <c r="FK20" s="211">
        <f ca="1">IF($D20&lt;&gt;"Serviço",0,IF(AND(AUTOEVENTO="Manual",$M20=1),0,IF(OFFSET(CRONOPLE!$F$14,$M20,FK$13)="",10^12,OFFSET(CRONOPLE!$F$14,$M20,FK$13))))</f>
        <v>0</v>
      </c>
      <c r="FL20" s="211">
        <f ca="1">IF($D20&lt;&gt;"Serviço",0,IF(AND(AUTOEVENTO="Manual",$M20=1),0,IF(OFFSET(CRONOPLE!$F$14,$M20,FL$13)="",10^12,OFFSET(CRONOPLE!$F$14,$M20,FL$13))))</f>
        <v>0</v>
      </c>
      <c r="FN20" s="212">
        <f ca="1">IF($D20&lt;&gt;"Serviço",0,IF(OR(AND(AUTOEVENTO="Manual",$M20=1),$M20&gt;(ROW(PLE.lastrow)-ROW(PLE.firstrow))),0,IF(OFFSET(PLE!$G$14,$M20,FN$13)="",10^12,OFFSET(PLE!$G$14,$M20,FN$13))))</f>
        <v>0</v>
      </c>
      <c r="FO20" s="212">
        <f ca="1">IF($D20&lt;&gt;"Serviço",0,IF(OR(AND(AUTOEVENTO="Manual",$M20=1),$M20&gt;(ROW(PLE.lastrow)-ROW(PLE.firstrow))),0,IF(OFFSET(PLE!$G$14,$M20,FO$13)="",10^12,OFFSET(PLE!$G$14,$M20,FO$13))))</f>
        <v>0</v>
      </c>
      <c r="FP20" s="212">
        <f ca="1">IF($D20&lt;&gt;"Serviço",0,IF(OR(AND(AUTOEVENTO="Manual",$M20=1),$M20&gt;(ROW(PLE.lastrow)-ROW(PLE.firstrow))),0,IF(OFFSET(PLE!$G$14,$M20,FP$13)="",10^12,OFFSET(PLE!$G$14,$M20,FP$13))))</f>
        <v>0</v>
      </c>
      <c r="FQ20" s="212">
        <f ca="1">IF($D20&lt;&gt;"Serviço",0,IF(OR(AND(AUTOEVENTO="Manual",$M20=1),$M20&gt;(ROW(PLE.lastrow)-ROW(PLE.firstrow))),0,IF(OFFSET(PLE!$G$14,$M20,FQ$13)="",10^12,OFFSET(PLE!$G$14,$M20,FQ$13))))</f>
        <v>0</v>
      </c>
      <c r="FR20" s="212">
        <f ca="1">IF($D20&lt;&gt;"Serviço",0,IF(OR(AND(AUTOEVENTO="Manual",$M20=1),$M20&gt;(ROW(PLE.lastrow)-ROW(PLE.firstrow))),0,IF(OFFSET(PLE!$G$14,$M20,FR$13)="",10^12,OFFSET(PLE!$G$14,$M20,FR$13))))</f>
        <v>0</v>
      </c>
      <c r="FS20" s="212">
        <f ca="1">IF($D20&lt;&gt;"Serviço",0,IF(OR(AND(AUTOEVENTO="Manual",$M20=1),$M20&gt;(ROW(PLE.lastrow)-ROW(PLE.firstrow))),0,IF(OFFSET(PLE!$G$14,$M20,FS$13)="",10^12,OFFSET(PLE!$G$14,$M20,FS$13))))</f>
        <v>0</v>
      </c>
      <c r="FT20" s="212">
        <f ca="1">IF($D20&lt;&gt;"Serviço",0,IF(OR(AND(AUTOEVENTO="Manual",$M20=1),$M20&gt;(ROW(PLE.lastrow)-ROW(PLE.firstrow))),0,IF(OFFSET(PLE!$G$14,$M20,FT$13)="",10^12,OFFSET(PLE!$G$14,$M20,FT$13))))</f>
        <v>0</v>
      </c>
      <c r="FU20" s="212">
        <f ca="1">IF($D20&lt;&gt;"Serviço",0,IF(OR(AND(AUTOEVENTO="Manual",$M20=1),$M20&gt;(ROW(PLE.lastrow)-ROW(PLE.firstrow))),0,IF(OFFSET(PLE!$G$14,$M20,FU$13)="",10^12,OFFSET(PLE!$G$14,$M20,FU$13))))</f>
        <v>0</v>
      </c>
      <c r="FV20" s="212">
        <f ca="1">IF($D20&lt;&gt;"Serviço",0,IF(OR(AND(AUTOEVENTO="Manual",$M20=1),$M20&gt;(ROW(PLE.lastrow)-ROW(PLE.firstrow))),0,IF(OFFSET(PLE!$G$14,$M20,FV$13)="",10^12,OFFSET(PLE!$G$14,$M20,FV$13))))</f>
        <v>0</v>
      </c>
      <c r="FW20" s="212">
        <f ca="1">IF($D20&lt;&gt;"Serviço",0,IF(OR(AND(AUTOEVENTO="Manual",$M20=1),$M20&gt;(ROW(PLE.lastrow)-ROW(PLE.firstrow))),0,IF(OFFSET(PLE!$G$14,$M20,FW$13)="",10^12,OFFSET(PLE!$G$14,$M20,FW$13))))</f>
        <v>0</v>
      </c>
      <c r="FX20" s="212">
        <f ca="1">IF($D20&lt;&gt;"Serviço",0,IF(OR(AND(AUTOEVENTO="Manual",$M20=1),$M20&gt;(ROW(PLE.lastrow)-ROW(PLE.firstrow))),0,IF(OFFSET(PLE!$G$14,$M20,FX$13)="",10^12,OFFSET(PLE!$G$14,$M20,FX$13))))</f>
        <v>0</v>
      </c>
      <c r="FY20" s="212">
        <f ca="1">IF($D20&lt;&gt;"Serviço",0,IF(OR(AND(AUTOEVENTO="Manual",$M20=1),$M20&gt;(ROW(PLE.lastrow)-ROW(PLE.firstrow))),0,IF(OFFSET(PLE!$G$14,$M20,FY$13)="",10^12,OFFSET(PLE!$G$14,$M20,FY$13))))</f>
        <v>0</v>
      </c>
      <c r="FZ20" s="212">
        <f ca="1">IF($D20&lt;&gt;"Serviço",0,IF(OR(AND(AUTOEVENTO="Manual",$M20=1),$M20&gt;(ROW(PLE.lastrow)-ROW(PLE.firstrow))),0,IF(OFFSET(PLE!$G$14,$M20,FZ$13)="",10^12,OFFSET(PLE!$G$14,$M20,FZ$13))))</f>
        <v>0</v>
      </c>
      <c r="GA20" s="212">
        <f ca="1">IF($D20&lt;&gt;"Serviço",0,IF(OR(AND(AUTOEVENTO="Manual",$M20=1),$M20&gt;(ROW(PLE.lastrow)-ROW(PLE.firstrow))),0,IF(OFFSET(PLE!$G$14,$M20,GA$13)="",10^12,OFFSET(PLE!$G$14,$M20,GA$13))))</f>
        <v>0</v>
      </c>
      <c r="GB20" s="212">
        <f ca="1">IF($D20&lt;&gt;"Serviço",0,IF(OR(AND(AUTOEVENTO="Manual",$M20=1),$M20&gt;(ROW(PLE.lastrow)-ROW(PLE.firstrow))),0,IF(OFFSET(PLE!$G$14,$M20,GB$13)="",10^12,OFFSET(PLE!$G$14,$M20,GB$13))))</f>
        <v>0</v>
      </c>
      <c r="GC20" s="212">
        <f ca="1">IF($D20&lt;&gt;"Serviço",0,IF(OR(AND(AUTOEVENTO="Manual",$M20=1),$M20&gt;(ROW(PLE.lastrow)-ROW(PLE.firstrow))),0,IF(OFFSET(PLE!$G$14,$M20,GC$13)="",10^12,OFFSET(PLE!$G$14,$M20,GC$13))))</f>
        <v>0</v>
      </c>
      <c r="GD20" s="212">
        <f ca="1">IF($D20&lt;&gt;"Serviço",0,IF(OR(AND(AUTOEVENTO="Manual",$M20=1),$M20&gt;(ROW(PLE.lastrow)-ROW(PLE.firstrow))),0,IF(OFFSET(PLE!$G$14,$M20,GD$13)="",10^12,OFFSET(PLE!$G$14,$M20,GD$13))))</f>
        <v>0</v>
      </c>
      <c r="GE20" s="212">
        <f ca="1">IF($D20&lt;&gt;"Serviço",0,IF(OR(AND(AUTOEVENTO="Manual",$M20=1),$M20&gt;(ROW(PLE.lastrow)-ROW(PLE.firstrow))),0,IF(OFFSET(PLE!$G$14,$M20,GE$13)="",10^12,OFFSET(PLE!$G$14,$M20,GE$13))))</f>
        <v>0</v>
      </c>
      <c r="GF20" s="212">
        <f ca="1">IF($D20&lt;&gt;"Serviço",0,IF(OR(AND(AUTOEVENTO="Manual",$M20=1),$M20&gt;(ROW(PLE.lastrow)-ROW(PLE.firstrow))),0,IF(OFFSET(PLE!$G$14,$M20,GF$13)="",10^12,OFFSET(PLE!$G$14,$M20,GF$13))))</f>
        <v>0</v>
      </c>
      <c r="GG20" s="212">
        <f ca="1">IF($D20&lt;&gt;"Serviço",0,IF(OR(AND(AUTOEVENTO="Manual",$M20=1),$M20&gt;(ROW(PLE.lastrow)-ROW(PLE.firstrow))),0,IF(OFFSET(PLE!$G$14,$M20,GG$13)="",10^12,OFFSET(PLE!$G$14,$M20,GG$13))))</f>
        <v>0</v>
      </c>
      <c r="GH20" s="212">
        <f ca="1">IF($D20&lt;&gt;"Serviço",0,IF(OR(AND(AUTOEVENTO="Manual",$M20=1),$M20&gt;(ROW(PLE.lastrow)-ROW(PLE.firstrow))),0,IF(OFFSET(PLE!$G$14,$M20,GH$13)="",10^12,OFFSET(PLE!$G$14,$M20,GH$13))))</f>
        <v>0</v>
      </c>
      <c r="GI20" s="212">
        <f ca="1">IF($D20&lt;&gt;"Serviço",0,IF(OR(AND(AUTOEVENTO="Manual",$M20=1),$M20&gt;(ROW(PLE.lastrow)-ROW(PLE.firstrow))),0,IF(OFFSET(PLE!$G$14,$M20,GI$13)="",10^12,OFFSET(PLE!$G$14,$M20,GI$13))))</f>
        <v>0</v>
      </c>
      <c r="GJ20" s="212">
        <f ca="1">IF($D20&lt;&gt;"Serviço",0,IF(OR(AND(AUTOEVENTO="Manual",$M20=1),$M20&gt;(ROW(PLE.lastrow)-ROW(PLE.firstrow))),0,IF(OFFSET(PLE!$G$14,$M20,GJ$13)="",10^12,OFFSET(PLE!$G$14,$M20,GJ$13))))</f>
        <v>0</v>
      </c>
      <c r="GK20" s="212">
        <f ca="1">IF($D20&lt;&gt;"Serviço",0,IF(OR(AND(AUTOEVENTO="Manual",$M20=1),$M20&gt;(ROW(PLE.lastrow)-ROW(PLE.firstrow))),0,IF(OFFSET(PLE!$G$14,$M20,GK$13)="",10^12,OFFSET(PLE!$G$14,$M20,GK$13))))</f>
        <v>0</v>
      </c>
      <c r="GL20" s="212">
        <f ca="1">IF($D20&lt;&gt;"Serviço",0,IF(OR(AND(AUTOEVENTO="Manual",$M20=1),$M20&gt;(ROW(PLE.lastrow)-ROW(PLE.firstrow))),0,IF(OFFSET(PLE!$G$14,$M20,GL$13)="",10^12,OFFSET(PLE!$G$14,$M20,GL$13))))</f>
        <v>0</v>
      </c>
      <c r="GM20" s="212">
        <f ca="1">IF($D20&lt;&gt;"Serviço",0,IF(OR(AND(AUTOEVENTO="Manual",$M20=1),$M20&gt;(ROW(PLE.lastrow)-ROW(PLE.firstrow))),0,IF(OFFSET(PLE!$G$14,$M20,GM$13)="",10^12,OFFSET(PLE!$G$14,$M20,GM$13))))</f>
        <v>0</v>
      </c>
      <c r="GN20" s="212">
        <f ca="1">IF($D20&lt;&gt;"Serviço",0,IF(OR(AND(AUTOEVENTO="Manual",$M20=1),$M20&gt;(ROW(PLE.lastrow)-ROW(PLE.firstrow))),0,IF(OFFSET(PLE!$G$14,$M20,GN$13)="",10^12,OFFSET(PLE!$G$14,$M20,GN$13))))</f>
        <v>0</v>
      </c>
      <c r="GO20" s="212">
        <f ca="1">IF($D20&lt;&gt;"Serviço",0,IF(OR(AND(AUTOEVENTO="Manual",$M20=1),$M20&gt;(ROW(PLE.lastrow)-ROW(PLE.firstrow))),0,IF(OFFSET(PLE!$G$14,$M20,GO$13)="",10^12,OFFSET(PLE!$G$14,$M20,GO$13))))</f>
        <v>0</v>
      </c>
      <c r="GP20" s="212">
        <f ca="1">IF($D20&lt;&gt;"Serviço",0,IF(OR(AND(AUTOEVENTO="Manual",$M20=1),$M20&gt;(ROW(PLE.lastrow)-ROW(PLE.firstrow))),0,IF(OFFSET(PLE!$G$14,$M20,GP$13)="",10^12,OFFSET(PLE!$G$14,$M20,GP$13))))</f>
        <v>0</v>
      </c>
      <c r="GQ20" s="212">
        <f ca="1">IF($D20&lt;&gt;"Serviço",0,IF(OR(AND(AUTOEVENTO="Manual",$M20=1),$M20&gt;(ROW(PLE.lastrow)-ROW(PLE.firstrow))),0,IF(OFFSET(PLE!$G$14,$M20,GQ$13)="",10^12,OFFSET(PLE!$G$14,$M20,GQ$13))))</f>
        <v>0</v>
      </c>
      <c r="GR20" s="212">
        <f ca="1">IF($D20&lt;&gt;"Serviço",0,IF(OR(AND(AUTOEVENTO="Manual",$M20=1),$M20&gt;(ROW(PLE.lastrow)-ROW(PLE.firstrow))),0,IF(OFFSET(PLE!$G$14,$M20,GR$13)="",10^12,OFFSET(PLE!$G$14,$M20,GR$13))))</f>
        <v>0</v>
      </c>
      <c r="GS20" s="212">
        <f ca="1">IF($D20&lt;&gt;"Serviço",0,IF(OR(AND(AUTOEVENTO="Manual",$M20=1),$M20&gt;(ROW(PLE.lastrow)-ROW(PLE.firstrow))),0,IF(OFFSET(PLE!$G$14,$M20,GS$13)="",10^12,OFFSET(PLE!$G$14,$M20,GS$13))))</f>
        <v>0</v>
      </c>
      <c r="GT20" s="212">
        <f ca="1">IF($D20&lt;&gt;"Serviço",0,IF(OR(AND(AUTOEVENTO="Manual",$M20=1),$M20&gt;(ROW(PLE.lastrow)-ROW(PLE.firstrow))),0,IF(OFFSET(PLE!$G$14,$M20,GT$13)="",10^12,OFFSET(PLE!$G$14,$M20,GT$13))))</f>
        <v>0</v>
      </c>
      <c r="GU20" s="212">
        <f ca="1">IF($D20&lt;&gt;"Serviço",0,IF(OR(AND(AUTOEVENTO="Manual",$M20=1),$M20&gt;(ROW(PLE.lastrow)-ROW(PLE.firstrow))),0,IF(OFFSET(PLE!$G$14,$M20,GU$13)="",10^12,OFFSET(PLE!$G$14,$M20,GU$13))))</f>
        <v>0</v>
      </c>
      <c r="GV20" s="212">
        <f ca="1">IF($D20&lt;&gt;"Serviço",0,IF(OR(AND(AUTOEVENTO="Manual",$M20=1),$M20&gt;(ROW(PLE.lastrow)-ROW(PLE.firstrow))),0,IF(OFFSET(PLE!$G$14,$M20,GV$13)="",10^12,OFFSET(PLE!$G$14,$M20,GV$13))))</f>
        <v>0</v>
      </c>
      <c r="GW20" s="212">
        <f ca="1">IF($D20&lt;&gt;"Serviço",0,IF(OR(AND(AUTOEVENTO="Manual",$M20=1),$M20&gt;(ROW(PLE.lastrow)-ROW(PLE.firstrow))),0,IF(OFFSET(PLE!$G$14,$M20,GW$13)="",10^12,OFFSET(PLE!$G$14,$M20,GW$13))))</f>
        <v>0</v>
      </c>
      <c r="GX20" s="212">
        <f ca="1">IF($D20&lt;&gt;"Serviço",0,IF(OR(AND(AUTOEVENTO="Manual",$M20=1),$M20&gt;(ROW(PLE.lastrow)-ROW(PLE.firstrow))),0,IF(OFFSET(PLE!$G$14,$M20,GX$13)="",10^12,OFFSET(PLE!$G$14,$M20,GX$13))))</f>
        <v>0</v>
      </c>
      <c r="GY20" s="212">
        <f ca="1">IF($D20&lt;&gt;"Serviço",0,IF(OR(AND(AUTOEVENTO="Manual",$M20=1),$M20&gt;(ROW(PLE.lastrow)-ROW(PLE.firstrow))),0,IF(OFFSET(PLE!$G$14,$M20,GY$13)="",10^12,OFFSET(PLE!$G$14,$M20,GY$13))))</f>
        <v>0</v>
      </c>
      <c r="GZ20" s="212">
        <f ca="1">IF($D20&lt;&gt;"Serviço",0,IF(OR(AND(AUTOEVENTO="Manual",$M20=1),$M20&gt;(ROW(PLE.lastrow)-ROW(PLE.firstrow))),0,IF(OFFSET(PLE!$G$14,$M20,GZ$13)="",10^12,OFFSET(PLE!$G$14,$M20,GZ$13))))</f>
        <v>0</v>
      </c>
      <c r="HA20" s="212">
        <f ca="1">IF($D20&lt;&gt;"Serviço",0,IF(OR(AND(AUTOEVENTO="Manual",$M20=1),$M20&gt;(ROW(PLE.lastrow)-ROW(PLE.firstrow))),0,IF(OFFSET(PLE!$G$14,$M20,HA$13)="",10^12,OFFSET(PLE!$G$14,$M20,HA$13))))</f>
        <v>0</v>
      </c>
      <c r="HB20" s="212">
        <f ca="1">IF($D20&lt;&gt;"Serviço",0,IF(OR(AND(AUTOEVENTO="Manual",$M20=1),$M20&gt;(ROW(PLE.lastrow)-ROW(PLE.firstrow))),0,IF(OFFSET(PLE!$G$14,$M20,HB$13)="",10^12,OFFSET(PLE!$G$14,$M20,HB$13))))</f>
        <v>0</v>
      </c>
      <c r="HC20" s="212">
        <f ca="1">IF($D20&lt;&gt;"Serviço",0,IF(OR(AND(AUTOEVENTO="Manual",$M20=1),$M20&gt;(ROW(PLE.lastrow)-ROW(PLE.firstrow))),0,IF(OFFSET(PLE!$G$14,$M20,HC$13)="",10^12,OFFSET(PLE!$G$14,$M20,HC$13))))</f>
        <v>0</v>
      </c>
      <c r="HD20" s="212">
        <f ca="1">IF($D20&lt;&gt;"Serviço",0,IF(OR(AND(AUTOEVENTO="Manual",$M20=1),$M20&gt;(ROW(PLE.lastrow)-ROW(PLE.firstrow))),0,IF(OFFSET(PLE!$G$14,$M20,HD$13)="",10^12,OFFSET(PLE!$G$14,$M20,HD$13))))</f>
        <v>0</v>
      </c>
      <c r="HE20" s="212">
        <f ca="1">IF($D20&lt;&gt;"Serviço",0,IF(OR(AND(AUTOEVENTO="Manual",$M20=1),$M20&gt;(ROW(PLE.lastrow)-ROW(PLE.firstrow))),0,IF(OFFSET(PLE!$G$14,$M20,HE$13)="",10^12,OFFSET(PLE!$G$14,$M20,HE$13))))</f>
        <v>0</v>
      </c>
      <c r="HF20" s="212">
        <f ca="1">IF($D20&lt;&gt;"Serviço",0,IF(OR(AND(AUTOEVENTO="Manual",$M20=1),$M20&gt;(ROW(PLE.lastrow)-ROW(PLE.firstrow))),0,IF(OFFSET(PLE!$G$14,$M20,HF$13)="",10^12,OFFSET(PLE!$G$14,$M20,HF$13))))</f>
        <v>0</v>
      </c>
      <c r="HG20" s="212">
        <f ca="1">IF($D20&lt;&gt;"Serviço",0,IF(OR(AND(AUTOEVENTO="Manual",$M20=1),$M20&gt;(ROW(PLE.lastrow)-ROW(PLE.firstrow))),0,IF(OFFSET(PLE!$G$14,$M20,HG$13)="",10^12,OFFSET(PLE!$G$14,$M20,HG$13))))</f>
        <v>0</v>
      </c>
      <c r="HH20" s="212">
        <f ca="1">IF($D20&lt;&gt;"Serviço",0,IF(OR(AND(AUTOEVENTO="Manual",$M20=1),$M20&gt;(ROW(PLE.lastrow)-ROW(PLE.firstrow))),0,IF(OFFSET(PLE!$G$14,$M20,HH$13)="",10^12,OFFSET(PLE!$G$14,$M20,HH$13))))</f>
        <v>0</v>
      </c>
      <c r="HI20" s="212">
        <f ca="1">IF($D20&lt;&gt;"Serviço",0,IF(OR(AND(AUTOEVENTO="Manual",$M20=1),$M20&gt;(ROW(PLE.lastrow)-ROW(PLE.firstrow))),0,IF(OFFSET(PLE!$G$14,$M20,HI$13)="",10^12,OFFSET(PLE!$G$14,$M20,HI$13))))</f>
        <v>0</v>
      </c>
      <c r="HJ20" s="212">
        <f ca="1">IF($D20&lt;&gt;"Serviço",0,IF(OR(AND(AUTOEVENTO="Manual",$M20=1),$M20&gt;(ROW(PLE.lastrow)-ROW(PLE.firstrow))),0,IF(OFFSET(PLE!$G$14,$M20,HJ$13)="",10^12,OFFSET(PLE!$G$14,$M20,HJ$13))))</f>
        <v>0</v>
      </c>
      <c r="HK20" s="212">
        <f ca="1">IF($D20&lt;&gt;"Serviço",0,IF(OR(AND(AUTOEVENTO="Manual",$M20=1),$M20&gt;(ROW(PLE.lastrow)-ROW(PLE.firstrow))),0,IF(OFFSET(PLE!$G$14,$M20,HK$13)="",10^12,OFFSET(PLE!$G$14,$M20,HK$13))))</f>
        <v>0</v>
      </c>
    </row>
    <row r="21" spans="1:219" ht="76.5" x14ac:dyDescent="0.2">
      <c r="A21" s="9" t="str">
        <f t="shared" ca="1" si="9"/>
        <v>5</v>
      </c>
      <c r="B21" s="9" t="str">
        <f ca="1">OFFSET(ORÇAMENTO!C$15,ROW(B21)-ROW(B$15),0)</f>
        <v>S</v>
      </c>
      <c r="C21" s="9" t="str">
        <f ca="1">OFFSET(ORÇAMENTO!L$15,ROW(C21)-ROW(C$15),0)</f>
        <v>F</v>
      </c>
      <c r="D21" s="141" t="str">
        <f ca="1">OFFSET(ORÇAMENTO!N$15,ROW(D21)-ROW(D$15),0)</f>
        <v>Serviço</v>
      </c>
      <c r="E21" s="201" t="str">
        <f ca="1">OFFSET(ORÇAMENTO!O$15,ROW(E21)-ROW(E$15),0)</f>
        <v>1.2.1.</v>
      </c>
      <c r="F21" s="202" t="str">
        <f ca="1">OFFSET(ORÇAMENTO!R$15,ROW(F21)-ROW(F$15),0)</f>
        <v>ADMINISTRAÇÃO LOCAL</v>
      </c>
      <c r="G21" s="203" t="str">
        <f ca="1">IF($D21&lt;&gt;"Serviço","",OFFSET(ORÇAMENTO!S$15,ROW(G21)-ROW(G$15),0))</f>
        <v>mês</v>
      </c>
      <c r="H21" s="147">
        <f ca="1">IF($D21&lt;&gt;"Serviço",0,IF(ACOMPANHAMENTO="BM",ROUND(OFFSET(ORÇAMENTO!AJ$15,ROW(H21)-ROW(H$15),0),15-13*ORÇAMENTO!$AF$7),SUMPRODUCT(($Q$12:$BO$12&lt;&gt;"")*ROUND($Q21:$BO21,15-13*ORÇAMENTO!$AF$7))))</f>
        <v>0.68</v>
      </c>
      <c r="I21" s="646" t="s">
        <v>499</v>
      </c>
      <c r="K21" s="204"/>
      <c r="L21" s="205" t="s">
        <v>257</v>
      </c>
      <c r="M21" s="206">
        <f ca="1">IF($D21&lt;&gt;"Serviço","",IF(AUTOEVENTO="manual",$A21,IF(ISERROR(MATCH($A21,$A$15:OFFSET($A21,-1,0),0)),MAX($M$15:OFFSET(M21,-1,0))+1,INDEX($M$15:OFFSET(M21,-1,0),MATCH($A21,$A$15:OFFSET($A21,-1,0),0)))))</f>
        <v>3</v>
      </c>
      <c r="N21" s="207" t="str">
        <f ca="1">IF($D21&lt;&gt;"Serviço","",IF(AUTOEVENTO="Manual",IF($A21=0,"&lt;-- defina o número do agrupador",OFFSET(EVENTOS!$D$14,$A21,0)),OFFSET($F$15,$A21,0)))</f>
        <v>ADMINISTRAÇÃO LOCAL</v>
      </c>
      <c r="O21" s="208"/>
      <c r="Q21" s="208">
        <f>0.681818/3</f>
        <v>0.22727266666666668</v>
      </c>
      <c r="R21" s="209">
        <f>Q21</f>
        <v>0.22727266666666668</v>
      </c>
      <c r="S21" s="209">
        <v>0.22</v>
      </c>
      <c r="T21" s="209"/>
      <c r="U21" s="209"/>
      <c r="V21" s="209"/>
      <c r="W21" s="209"/>
      <c r="X21" s="209"/>
      <c r="Y21" s="209"/>
      <c r="Z21" s="210"/>
      <c r="AA21" s="209"/>
      <c r="AB21" s="209"/>
      <c r="AC21" s="209"/>
      <c r="AD21" s="209"/>
      <c r="AE21" s="209"/>
      <c r="AF21" s="209"/>
      <c r="AG21" s="209"/>
      <c r="AH21" s="210"/>
      <c r="AI21" s="209"/>
      <c r="AJ21" s="209"/>
      <c r="AK21" s="209"/>
      <c r="AL21" s="209"/>
      <c r="AM21" s="209"/>
      <c r="AN21" s="209"/>
      <c r="AO21" s="209"/>
      <c r="AP21" s="210"/>
      <c r="AQ21" s="209"/>
      <c r="AR21" s="209"/>
      <c r="AS21" s="209"/>
      <c r="AT21" s="209"/>
      <c r="AU21" s="209"/>
      <c r="AV21" s="209"/>
      <c r="AW21" s="209"/>
      <c r="AX21" s="210"/>
      <c r="AY21" s="209"/>
      <c r="AZ21" s="209"/>
      <c r="BA21" s="209"/>
      <c r="BB21" s="209"/>
      <c r="BC21" s="209"/>
      <c r="BD21" s="209"/>
      <c r="BE21" s="209"/>
      <c r="BF21" s="210"/>
      <c r="BG21" s="209"/>
      <c r="BH21" s="209"/>
      <c r="BI21" s="209"/>
      <c r="BJ21" s="209"/>
      <c r="BK21" s="209"/>
      <c r="BL21" s="209"/>
      <c r="BM21" s="209"/>
      <c r="BN21" s="210"/>
      <c r="BP21" s="627">
        <f ca="1">IF(AND($D21="Serviço",BP$12&lt;&gt;0,$H21&gt;0,OR(AUTOEVENTO&lt;&gt;"manual",$M21&lt;&gt;1)),ROUND(OFFSET($P21,0,BP$13),15-13*ORÇAMENTO!$AF$7)/$H21*OFFSET(ORÇAMENTO!$X$15,ROW(BP21)-ROW(BP$15),0),0)</f>
        <v>3930.0186548999995</v>
      </c>
      <c r="BQ21" s="628">
        <f ca="1">IF(AND($D21="Serviço",BQ$12&lt;&gt;0,$H21&gt;0,OR(AUTOEVENTO&lt;&gt;"manual",$M21&lt;&gt;1)),ROUND(OFFSET($P21,0,BQ$13),15-13*ORÇAMENTO!$AF$7)/$H21*OFFSET(ORÇAMENTO!$X$15,ROW(BQ21)-ROW(BQ$15),0),0)</f>
        <v>3930.0186548999995</v>
      </c>
      <c r="BR21" s="628">
        <f ca="1">IF(AND($D21="Serviço",BR$12&lt;&gt;0,$H21&gt;0,OR(AUTOEVENTO&lt;&gt;"manual",$M21&lt;&gt;1)),ROUND(OFFSET($P21,0,BR$13),15-13*ORÇAMENTO!$AF$7)/$H21*OFFSET(ORÇAMENTO!$X$15,ROW(BR21)-ROW(BR$15),0),0)</f>
        <v>3759.1482785999992</v>
      </c>
      <c r="BS21" s="628">
        <f ca="1">IF(AND($D21="Serviço",BS$12&lt;&gt;0,$H21&gt;0,OR(AUTOEVENTO&lt;&gt;"manual",$M21&lt;&gt;1)),ROUND(OFFSET($P21,0,BS$13),15-13*ORÇAMENTO!$AF$7)/$H21*OFFSET(ORÇAMENTO!$X$15,ROW(BS21)-ROW(BS$15),0),0)</f>
        <v>0</v>
      </c>
      <c r="BT21" s="628">
        <f ca="1">IF(AND($D21="Serviço",BT$12&lt;&gt;0,$H21&gt;0,OR(AUTOEVENTO&lt;&gt;"manual",$M21&lt;&gt;1)),ROUND(OFFSET($P21,0,BT$13),15-13*ORÇAMENTO!$AF$7)/$H21*OFFSET(ORÇAMENTO!$X$15,ROW(BT21)-ROW(BT$15),0),0)</f>
        <v>0</v>
      </c>
      <c r="BU21" s="628">
        <f ca="1">IF(AND($D21="Serviço",BU$12&lt;&gt;0,$H21&gt;0,OR(AUTOEVENTO&lt;&gt;"manual",$M21&lt;&gt;1)),ROUND(OFFSET($P21,0,BU$13),15-13*ORÇAMENTO!$AF$7)/$H21*OFFSET(ORÇAMENTO!$X$15,ROW(BU21)-ROW(BU$15),0),0)</f>
        <v>0</v>
      </c>
      <c r="BV21" s="628">
        <f ca="1">IF(AND($D21="Serviço",BV$12&lt;&gt;0,$H21&gt;0,OR(AUTOEVENTO&lt;&gt;"manual",$M21&lt;&gt;1)),ROUND(OFFSET($P21,0,BV$13),15-13*ORÇAMENTO!$AF$7)/$H21*OFFSET(ORÇAMENTO!$X$15,ROW(BV21)-ROW(BV$15),0),0)</f>
        <v>0</v>
      </c>
      <c r="BW21" s="628">
        <f ca="1">IF(AND($D21="Serviço",BW$12&lt;&gt;0,$H21&gt;0,OR(AUTOEVENTO&lt;&gt;"manual",$M21&lt;&gt;1)),ROUND(OFFSET($P21,0,BW$13),15-13*ORÇAMENTO!$AF$7)/$H21*OFFSET(ORÇAMENTO!$X$15,ROW(BW21)-ROW(BW$15),0),0)</f>
        <v>0</v>
      </c>
      <c r="BX21" s="628">
        <f ca="1">IF(AND($D21="Serviço",BX$12&lt;&gt;0,$H21&gt;0,OR(AUTOEVENTO&lt;&gt;"manual",$M21&lt;&gt;1)),ROUND(OFFSET($P21,0,BX$13),15-13*ORÇAMENTO!$AF$7)/$H21*OFFSET(ORÇAMENTO!$X$15,ROW(BX21)-ROW(BX$15),0),0)</f>
        <v>0</v>
      </c>
      <c r="BY21" s="629">
        <f ca="1">IF(AND($D21="Serviço",BY$12&lt;&gt;0,$H21&gt;0,OR(AUTOEVENTO&lt;&gt;"manual",$M21&lt;&gt;1)),ROUND(OFFSET($P21,0,BY$13),15-13*ORÇAMENTO!$AF$7)/$H21*OFFSET(ORÇAMENTO!$X$15,ROW(BY21)-ROW(BY$15),0),0)</f>
        <v>0</v>
      </c>
      <c r="BZ21" s="628">
        <f ca="1">IF(AND($D21="Serviço",BZ$12&lt;&gt;0,$H21&gt;0,OR(AUTOEVENTO&lt;&gt;"manual",$M21&lt;&gt;1)),ROUND(OFFSET($P21,0,BZ$13),15-13*ORÇAMENTO!$AF$7)/$H21*OFFSET(ORÇAMENTO!$X$15,ROW(BZ21)-ROW(BZ$15),0),0)</f>
        <v>0</v>
      </c>
      <c r="CA21" s="628">
        <f ca="1">IF(AND($D21="Serviço",CA$12&lt;&gt;0,$H21&gt;0,OR(AUTOEVENTO&lt;&gt;"manual",$M21&lt;&gt;1)),ROUND(OFFSET($P21,0,CA$13),15-13*ORÇAMENTO!$AF$7)/$H21*OFFSET(ORÇAMENTO!$X$15,ROW(CA21)-ROW(CA$15),0),0)</f>
        <v>0</v>
      </c>
      <c r="CB21" s="628">
        <f ca="1">IF(AND($D21="Serviço",CB$12&lt;&gt;0,$H21&gt;0,OR(AUTOEVENTO&lt;&gt;"manual",$M21&lt;&gt;1)),ROUND(OFFSET($P21,0,CB$13),15-13*ORÇAMENTO!$AF$7)/$H21*OFFSET(ORÇAMENTO!$X$15,ROW(CB21)-ROW(CB$15),0),0)</f>
        <v>0</v>
      </c>
      <c r="CC21" s="628">
        <f ca="1">IF(AND($D21="Serviço",CC$12&lt;&gt;0,$H21&gt;0,OR(AUTOEVENTO&lt;&gt;"manual",$M21&lt;&gt;1)),ROUND(OFFSET($P21,0,CC$13),15-13*ORÇAMENTO!$AF$7)/$H21*OFFSET(ORÇAMENTO!$X$15,ROW(CC21)-ROW(CC$15),0),0)</f>
        <v>0</v>
      </c>
      <c r="CD21" s="628">
        <f ca="1">IF(AND($D21="Serviço",CD$12&lt;&gt;0,$H21&gt;0,OR(AUTOEVENTO&lt;&gt;"manual",$M21&lt;&gt;1)),ROUND(OFFSET($P21,0,CD$13),15-13*ORÇAMENTO!$AF$7)/$H21*OFFSET(ORÇAMENTO!$X$15,ROW(CD21)-ROW(CD$15),0),0)</f>
        <v>0</v>
      </c>
      <c r="CE21" s="628">
        <f ca="1">IF(AND($D21="Serviço",CE$12&lt;&gt;0,$H21&gt;0,OR(AUTOEVENTO&lt;&gt;"manual",$M21&lt;&gt;1)),ROUND(OFFSET($P21,0,CE$13),15-13*ORÇAMENTO!$AF$7)/$H21*OFFSET(ORÇAMENTO!$X$15,ROW(CE21)-ROW(CE$15),0),0)</f>
        <v>0</v>
      </c>
      <c r="CF21" s="628">
        <f ca="1">IF(AND($D21="Serviço",CF$12&lt;&gt;0,$H21&gt;0,OR(AUTOEVENTO&lt;&gt;"manual",$M21&lt;&gt;1)),ROUND(OFFSET($P21,0,CF$13),15-13*ORÇAMENTO!$AF$7)/$H21*OFFSET(ORÇAMENTO!$X$15,ROW(CF21)-ROW(CF$15),0),0)</f>
        <v>0</v>
      </c>
      <c r="CG21" s="629">
        <f ca="1">IF(AND($D21="Serviço",CG$12&lt;&gt;0,$H21&gt;0,OR(AUTOEVENTO&lt;&gt;"manual",$M21&lt;&gt;1)),ROUND(OFFSET($P21,0,CG$13),15-13*ORÇAMENTO!$AF$7)/$H21*OFFSET(ORÇAMENTO!$X$15,ROW(CG21)-ROW(CG$15),0),0)</f>
        <v>0</v>
      </c>
      <c r="CH21" s="628">
        <f ca="1">IF(AND($D21="Serviço",CH$12&lt;&gt;0,$H21&gt;0,OR(AUTOEVENTO&lt;&gt;"manual",$M21&lt;&gt;1)),ROUND(OFFSET($P21,0,CH$13),15-13*ORÇAMENTO!$AF$7)/$H21*OFFSET(ORÇAMENTO!$X$15,ROW(CH21)-ROW(CH$15),0),0)</f>
        <v>0</v>
      </c>
      <c r="CI21" s="628">
        <f ca="1">IF(AND($D21="Serviço",CI$12&lt;&gt;0,$H21&gt;0,OR(AUTOEVENTO&lt;&gt;"manual",$M21&lt;&gt;1)),ROUND(OFFSET($P21,0,CI$13),15-13*ORÇAMENTO!$AF$7)/$H21*OFFSET(ORÇAMENTO!$X$15,ROW(CI21)-ROW(CI$15),0),0)</f>
        <v>0</v>
      </c>
      <c r="CJ21" s="628">
        <f ca="1">IF(AND($D21="Serviço",CJ$12&lt;&gt;0,$H21&gt;0,OR(AUTOEVENTO&lt;&gt;"manual",$M21&lt;&gt;1)),ROUND(OFFSET($P21,0,CJ$13),15-13*ORÇAMENTO!$AF$7)/$H21*OFFSET(ORÇAMENTO!$X$15,ROW(CJ21)-ROW(CJ$15),0),0)</f>
        <v>0</v>
      </c>
      <c r="CK21" s="628">
        <f ca="1">IF(AND($D21="Serviço",CK$12&lt;&gt;0,$H21&gt;0,OR(AUTOEVENTO&lt;&gt;"manual",$M21&lt;&gt;1)),ROUND(OFFSET($P21,0,CK$13),15-13*ORÇAMENTO!$AF$7)/$H21*OFFSET(ORÇAMENTO!$X$15,ROW(CK21)-ROW(CK$15),0),0)</f>
        <v>0</v>
      </c>
      <c r="CL21" s="628">
        <f ca="1">IF(AND($D21="Serviço",CL$12&lt;&gt;0,$H21&gt;0,OR(AUTOEVENTO&lt;&gt;"manual",$M21&lt;&gt;1)),ROUND(OFFSET($P21,0,CL$13),15-13*ORÇAMENTO!$AF$7)/$H21*OFFSET(ORÇAMENTO!$X$15,ROW(CL21)-ROW(CL$15),0),0)</f>
        <v>0</v>
      </c>
      <c r="CM21" s="628">
        <f ca="1">IF(AND($D21="Serviço",CM$12&lt;&gt;0,$H21&gt;0,OR(AUTOEVENTO&lt;&gt;"manual",$M21&lt;&gt;1)),ROUND(OFFSET($P21,0,CM$13),15-13*ORÇAMENTO!$AF$7)/$H21*OFFSET(ORÇAMENTO!$X$15,ROW(CM21)-ROW(CM$15),0),0)</f>
        <v>0</v>
      </c>
      <c r="CN21" s="628">
        <f ca="1">IF(AND($D21="Serviço",CN$12&lt;&gt;0,$H21&gt;0,OR(AUTOEVENTO&lt;&gt;"manual",$M21&lt;&gt;1)),ROUND(OFFSET($P21,0,CN$13),15-13*ORÇAMENTO!$AF$7)/$H21*OFFSET(ORÇAMENTO!$X$15,ROW(CN21)-ROW(CN$15),0),0)</f>
        <v>0</v>
      </c>
      <c r="CO21" s="629">
        <f ca="1">IF(AND($D21="Serviço",CO$12&lt;&gt;0,$H21&gt;0,OR(AUTOEVENTO&lt;&gt;"manual",$M21&lt;&gt;1)),ROUND(OFFSET($P21,0,CO$13),15-13*ORÇAMENTO!$AF$7)/$H21*OFFSET(ORÇAMENTO!$X$15,ROW(CO21)-ROW(CO$15),0),0)</f>
        <v>0</v>
      </c>
      <c r="CP21" s="628">
        <f ca="1">IF(AND($D21="Serviço",CP$12&lt;&gt;0,$H21&gt;0,OR(AUTOEVENTO&lt;&gt;"manual",$M21&lt;&gt;1)),ROUND(OFFSET($P21,0,CP$13),15-13*ORÇAMENTO!$AF$7)/$H21*OFFSET(ORÇAMENTO!$X$15,ROW(CP21)-ROW(CP$15),0),0)</f>
        <v>0</v>
      </c>
      <c r="CQ21" s="628">
        <f ca="1">IF(AND($D21="Serviço",CQ$12&lt;&gt;0,$H21&gt;0,OR(AUTOEVENTO&lt;&gt;"manual",$M21&lt;&gt;1)),ROUND(OFFSET($P21,0,CQ$13),15-13*ORÇAMENTO!$AF$7)/$H21*OFFSET(ORÇAMENTO!$X$15,ROW(CQ21)-ROW(CQ$15),0),0)</f>
        <v>0</v>
      </c>
      <c r="CR21" s="628">
        <f ca="1">IF(AND($D21="Serviço",CR$12&lt;&gt;0,$H21&gt;0,OR(AUTOEVENTO&lt;&gt;"manual",$M21&lt;&gt;1)),ROUND(OFFSET($P21,0,CR$13),15-13*ORÇAMENTO!$AF$7)/$H21*OFFSET(ORÇAMENTO!$X$15,ROW(CR21)-ROW(CR$15),0),0)</f>
        <v>0</v>
      </c>
      <c r="CS21" s="628">
        <f ca="1">IF(AND($D21="Serviço",CS$12&lt;&gt;0,$H21&gt;0,OR(AUTOEVENTO&lt;&gt;"manual",$M21&lt;&gt;1)),ROUND(OFFSET($P21,0,CS$13),15-13*ORÇAMENTO!$AF$7)/$H21*OFFSET(ORÇAMENTO!$X$15,ROW(CS21)-ROW(CS$15),0),0)</f>
        <v>0</v>
      </c>
      <c r="CT21" s="628">
        <f ca="1">IF(AND($D21="Serviço",CT$12&lt;&gt;0,$H21&gt;0,OR(AUTOEVENTO&lt;&gt;"manual",$M21&lt;&gt;1)),ROUND(OFFSET($P21,0,CT$13),15-13*ORÇAMENTO!$AF$7)/$H21*OFFSET(ORÇAMENTO!$X$15,ROW(CT21)-ROW(CT$15),0),0)</f>
        <v>0</v>
      </c>
      <c r="CU21" s="628">
        <f ca="1">IF(AND($D21="Serviço",CU$12&lt;&gt;0,$H21&gt;0,OR(AUTOEVENTO&lt;&gt;"manual",$M21&lt;&gt;1)),ROUND(OFFSET($P21,0,CU$13),15-13*ORÇAMENTO!$AF$7)/$H21*OFFSET(ORÇAMENTO!$X$15,ROW(CU21)-ROW(CU$15),0),0)</f>
        <v>0</v>
      </c>
      <c r="CV21" s="628">
        <f ca="1">IF(AND($D21="Serviço",CV$12&lt;&gt;0,$H21&gt;0,OR(AUTOEVENTO&lt;&gt;"manual",$M21&lt;&gt;1)),ROUND(OFFSET($P21,0,CV$13),15-13*ORÇAMENTO!$AF$7)/$H21*OFFSET(ORÇAMENTO!$X$15,ROW(CV21)-ROW(CV$15),0),0)</f>
        <v>0</v>
      </c>
      <c r="CW21" s="629">
        <f ca="1">IF(AND($D21="Serviço",CW$12&lt;&gt;0,$H21&gt;0,OR(AUTOEVENTO&lt;&gt;"manual",$M21&lt;&gt;1)),ROUND(OFFSET($P21,0,CW$13),15-13*ORÇAMENTO!$AF$7)/$H21*OFFSET(ORÇAMENTO!$X$15,ROW(CW21)-ROW(CW$15),0),0)</f>
        <v>0</v>
      </c>
      <c r="CX21" s="628">
        <f ca="1">IF(AND($D21="Serviço",CX$12&lt;&gt;0,$H21&gt;0,OR(AUTOEVENTO&lt;&gt;"manual",$M21&lt;&gt;1)),ROUND(OFFSET($P21,0,CX$13),15-13*ORÇAMENTO!$AF$7)/$H21*OFFSET(ORÇAMENTO!$X$15,ROW(CX21)-ROW(CX$15),0),0)</f>
        <v>0</v>
      </c>
      <c r="CY21" s="628">
        <f ca="1">IF(AND($D21="Serviço",CY$12&lt;&gt;0,$H21&gt;0,OR(AUTOEVENTO&lt;&gt;"manual",$M21&lt;&gt;1)),ROUND(OFFSET($P21,0,CY$13),15-13*ORÇAMENTO!$AF$7)/$H21*OFFSET(ORÇAMENTO!$X$15,ROW(CY21)-ROW(CY$15),0),0)</f>
        <v>0</v>
      </c>
      <c r="CZ21" s="628">
        <f ca="1">IF(AND($D21="Serviço",CZ$12&lt;&gt;0,$H21&gt;0,OR(AUTOEVENTO&lt;&gt;"manual",$M21&lt;&gt;1)),ROUND(OFFSET($P21,0,CZ$13),15-13*ORÇAMENTO!$AF$7)/$H21*OFFSET(ORÇAMENTO!$X$15,ROW(CZ21)-ROW(CZ$15),0),0)</f>
        <v>0</v>
      </c>
      <c r="DA21" s="628">
        <f ca="1">IF(AND($D21="Serviço",DA$12&lt;&gt;0,$H21&gt;0,OR(AUTOEVENTO&lt;&gt;"manual",$M21&lt;&gt;1)),ROUND(OFFSET($P21,0,DA$13),15-13*ORÇAMENTO!$AF$7)/$H21*OFFSET(ORÇAMENTO!$X$15,ROW(DA21)-ROW(DA$15),0),0)</f>
        <v>0</v>
      </c>
      <c r="DB21" s="628">
        <f ca="1">IF(AND($D21="Serviço",DB$12&lt;&gt;0,$H21&gt;0,OR(AUTOEVENTO&lt;&gt;"manual",$M21&lt;&gt;1)),ROUND(OFFSET($P21,0,DB$13),15-13*ORÇAMENTO!$AF$7)/$H21*OFFSET(ORÇAMENTO!$X$15,ROW(DB21)-ROW(DB$15),0),0)</f>
        <v>0</v>
      </c>
      <c r="DC21" s="628">
        <f ca="1">IF(AND($D21="Serviço",DC$12&lt;&gt;0,$H21&gt;0,OR(AUTOEVENTO&lt;&gt;"manual",$M21&lt;&gt;1)),ROUND(OFFSET($P21,0,DC$13),15-13*ORÇAMENTO!$AF$7)/$H21*OFFSET(ORÇAMENTO!$X$15,ROW(DC21)-ROW(DC$15),0),0)</f>
        <v>0</v>
      </c>
      <c r="DD21" s="628">
        <f ca="1">IF(AND($D21="Serviço",DD$12&lt;&gt;0,$H21&gt;0,OR(AUTOEVENTO&lt;&gt;"manual",$M21&lt;&gt;1)),ROUND(OFFSET($P21,0,DD$13),15-13*ORÇAMENTO!$AF$7)/$H21*OFFSET(ORÇAMENTO!$X$15,ROW(DD21)-ROW(DD$15),0),0)</f>
        <v>0</v>
      </c>
      <c r="DE21" s="629">
        <f ca="1">IF(AND($D21="Serviço",DE$12&lt;&gt;0,$H21&gt;0,OR(AUTOEVENTO&lt;&gt;"manual",$M21&lt;&gt;1)),ROUND(OFFSET($P21,0,DE$13),15-13*ORÇAMENTO!$AF$7)/$H21*OFFSET(ORÇAMENTO!$X$15,ROW(DE21)-ROW(DE$15),0),0)</f>
        <v>0</v>
      </c>
      <c r="DF21" s="628">
        <f ca="1">IF(AND($D21="Serviço",DF$12&lt;&gt;0,$H21&gt;0,OR(AUTOEVENTO&lt;&gt;"manual",$M21&lt;&gt;1)),ROUND(OFFSET($P21,0,DF$13),15-13*ORÇAMENTO!$AF$7)/$H21*OFFSET(ORÇAMENTO!$X$15,ROW(DF21)-ROW(DF$15),0),0)</f>
        <v>0</v>
      </c>
      <c r="DG21" s="628">
        <f ca="1">IF(AND($D21="Serviço",DG$12&lt;&gt;0,$H21&gt;0,OR(AUTOEVENTO&lt;&gt;"manual",$M21&lt;&gt;1)),ROUND(OFFSET($P21,0,DG$13),15-13*ORÇAMENTO!$AF$7)/$H21*OFFSET(ORÇAMENTO!$X$15,ROW(DG21)-ROW(DG$15),0),0)</f>
        <v>0</v>
      </c>
      <c r="DH21" s="628">
        <f ca="1">IF(AND($D21="Serviço",DH$12&lt;&gt;0,$H21&gt;0,OR(AUTOEVENTO&lt;&gt;"manual",$M21&lt;&gt;1)),ROUND(OFFSET($P21,0,DH$13),15-13*ORÇAMENTO!$AF$7)/$H21*OFFSET(ORÇAMENTO!$X$15,ROW(DH21)-ROW(DH$15),0),0)</f>
        <v>0</v>
      </c>
      <c r="DI21" s="628">
        <f ca="1">IF(AND($D21="Serviço",DI$12&lt;&gt;0,$H21&gt;0,OR(AUTOEVENTO&lt;&gt;"manual",$M21&lt;&gt;1)),ROUND(OFFSET($P21,0,DI$13),15-13*ORÇAMENTO!$AF$7)/$H21*OFFSET(ORÇAMENTO!$X$15,ROW(DI21)-ROW(DI$15),0),0)</f>
        <v>0</v>
      </c>
      <c r="DJ21" s="628">
        <f ca="1">IF(AND($D21="Serviço",DJ$12&lt;&gt;0,$H21&gt;0,OR(AUTOEVENTO&lt;&gt;"manual",$M21&lt;&gt;1)),ROUND(OFFSET($P21,0,DJ$13),15-13*ORÇAMENTO!$AF$7)/$H21*OFFSET(ORÇAMENTO!$X$15,ROW(DJ21)-ROW(DJ$15),0),0)</f>
        <v>0</v>
      </c>
      <c r="DK21" s="628">
        <f ca="1">IF(AND($D21="Serviço",DK$12&lt;&gt;0,$H21&gt;0,OR(AUTOEVENTO&lt;&gt;"manual",$M21&lt;&gt;1)),ROUND(OFFSET($P21,0,DK$13),15-13*ORÇAMENTO!$AF$7)/$H21*OFFSET(ORÇAMENTO!$X$15,ROW(DK21)-ROW(DK$15),0),0)</f>
        <v>0</v>
      </c>
      <c r="DL21" s="628">
        <f ca="1">IF(AND($D21="Serviço",DL$12&lt;&gt;0,$H21&gt;0,OR(AUTOEVENTO&lt;&gt;"manual",$M21&lt;&gt;1)),ROUND(OFFSET($P21,0,DL$13),15-13*ORÇAMENTO!$AF$7)/$H21*OFFSET(ORÇAMENTO!$X$15,ROW(DL21)-ROW(DL$15),0),0)</f>
        <v>0</v>
      </c>
      <c r="DM21" s="629">
        <f ca="1">IF(AND($D21="Serviço",DM$12&lt;&gt;0,$H21&gt;0,OR(AUTOEVENTO&lt;&gt;"manual",$M21&lt;&gt;1)),ROUND(OFFSET($P21,0,DM$13),15-13*ORÇAMENTO!$AF$7)/$H21*OFFSET(ORÇAMENTO!$X$15,ROW(DM21)-ROW(DM$15),0),0)</f>
        <v>0</v>
      </c>
      <c r="DO21" s="211">
        <f ca="1">IF($D21&lt;&gt;"Serviço",0,IF(AND(AUTOEVENTO="Manual",$M21=1),0,IF(OFFSET(CRONOPLE!$F$14,$M21,DO$13)="",10^12,OFFSET(CRONOPLE!$F$14,$M21,DO$13))))</f>
        <v>1</v>
      </c>
      <c r="DP21" s="211">
        <f ca="1">IF($D21&lt;&gt;"Serviço",0,IF(AND(AUTOEVENTO="Manual",$M21=1),0,IF(OFFSET(CRONOPLE!$F$14,$M21,DP$13)="",10^12,OFFSET(CRONOPLE!$F$14,$M21,DP$13))))</f>
        <v>2</v>
      </c>
      <c r="DQ21" s="211">
        <f ca="1">IF($D21&lt;&gt;"Serviço",0,IF(AND(AUTOEVENTO="Manual",$M21=1),0,IF(OFFSET(CRONOPLE!$F$14,$M21,DQ$13)="",10^12,OFFSET(CRONOPLE!$F$14,$M21,DQ$13))))</f>
        <v>3</v>
      </c>
      <c r="DR21" s="211">
        <f ca="1">IF($D21&lt;&gt;"Serviço",0,IF(AND(AUTOEVENTO="Manual",$M21=1),0,IF(OFFSET(CRONOPLE!$F$14,$M21,DR$13)="",10^12,OFFSET(CRONOPLE!$F$14,$M21,DR$13))))</f>
        <v>4</v>
      </c>
      <c r="DS21" s="211">
        <f ca="1">IF($D21&lt;&gt;"Serviço",0,IF(AND(AUTOEVENTO="Manual",$M21=1),0,IF(OFFSET(CRONOPLE!$F$14,$M21,DS$13)="",10^12,OFFSET(CRONOPLE!$F$14,$M21,DS$13))))</f>
        <v>5</v>
      </c>
      <c r="DT21" s="211">
        <f ca="1">IF($D21&lt;&gt;"Serviço",0,IF(AND(AUTOEVENTO="Manual",$M21=1),0,IF(OFFSET(CRONOPLE!$F$14,$M21,DT$13)="",10^12,OFFSET(CRONOPLE!$F$14,$M21,DT$13))))</f>
        <v>6</v>
      </c>
      <c r="DU21" s="211">
        <f ca="1">IF($D21&lt;&gt;"Serviço",0,IF(AND(AUTOEVENTO="Manual",$M21=1),0,IF(OFFSET(CRONOPLE!$F$14,$M21,DU$13)="",10^12,OFFSET(CRONOPLE!$F$14,$M21,DU$13))))</f>
        <v>1000000000000</v>
      </c>
      <c r="DV21" s="211">
        <f ca="1">IF($D21&lt;&gt;"Serviço",0,IF(AND(AUTOEVENTO="Manual",$M21=1),0,IF(OFFSET(CRONOPLE!$F$14,$M21,DV$13)="",10^12,OFFSET(CRONOPLE!$F$14,$M21,DV$13))))</f>
        <v>1000000000000</v>
      </c>
      <c r="DW21" s="211">
        <f ca="1">IF($D21&lt;&gt;"Serviço",0,IF(AND(AUTOEVENTO="Manual",$M21=1),0,IF(OFFSET(CRONOPLE!$F$14,$M21,DW$13)="",10^12,OFFSET(CRONOPLE!$F$14,$M21,DW$13))))</f>
        <v>1000000000000</v>
      </c>
      <c r="DX21" s="211">
        <f ca="1">IF($D21&lt;&gt;"Serviço",0,IF(AND(AUTOEVENTO="Manual",$M21=1),0,IF(OFFSET(CRONOPLE!$F$14,$M21,DX$13)="",10^12,OFFSET(CRONOPLE!$F$14,$M21,DX$13))))</f>
        <v>1000000000000</v>
      </c>
      <c r="DY21" s="211">
        <f ca="1">IF($D21&lt;&gt;"Serviço",0,IF(AND(AUTOEVENTO="Manual",$M21=1),0,IF(OFFSET(CRONOPLE!$F$14,$M21,DY$13)="",10^12,OFFSET(CRONOPLE!$F$14,$M21,DY$13))))</f>
        <v>1000000000000</v>
      </c>
      <c r="DZ21" s="211">
        <f ca="1">IF($D21&lt;&gt;"Serviço",0,IF(AND(AUTOEVENTO="Manual",$M21=1),0,IF(OFFSET(CRONOPLE!$F$14,$M21,DZ$13)="",10^12,OFFSET(CRONOPLE!$F$14,$M21,DZ$13))))</f>
        <v>1000000000000</v>
      </c>
      <c r="EA21" s="211">
        <f ca="1">IF($D21&lt;&gt;"Serviço",0,IF(AND(AUTOEVENTO="Manual",$M21=1),0,IF(OFFSET(CRONOPLE!$F$14,$M21,EA$13)="",10^12,OFFSET(CRONOPLE!$F$14,$M21,EA$13))))</f>
        <v>1000000000000</v>
      </c>
      <c r="EB21" s="211">
        <f ca="1">IF($D21&lt;&gt;"Serviço",0,IF(AND(AUTOEVENTO="Manual",$M21=1),0,IF(OFFSET(CRONOPLE!$F$14,$M21,EB$13)="",10^12,OFFSET(CRONOPLE!$F$14,$M21,EB$13))))</f>
        <v>1000000000000</v>
      </c>
      <c r="EC21" s="211">
        <f ca="1">IF($D21&lt;&gt;"Serviço",0,IF(AND(AUTOEVENTO="Manual",$M21=1),0,IF(OFFSET(CRONOPLE!$F$14,$M21,EC$13)="",10^12,OFFSET(CRONOPLE!$F$14,$M21,EC$13))))</f>
        <v>1000000000000</v>
      </c>
      <c r="ED21" s="211">
        <f ca="1">IF($D21&lt;&gt;"Serviço",0,IF(AND(AUTOEVENTO="Manual",$M21=1),0,IF(OFFSET(CRONOPLE!$F$14,$M21,ED$13)="",10^12,OFFSET(CRONOPLE!$F$14,$M21,ED$13))))</f>
        <v>1000000000000</v>
      </c>
      <c r="EE21" s="211">
        <f ca="1">IF($D21&lt;&gt;"Serviço",0,IF(AND(AUTOEVENTO="Manual",$M21=1),0,IF(OFFSET(CRONOPLE!$F$14,$M21,EE$13)="",10^12,OFFSET(CRONOPLE!$F$14,$M21,EE$13))))</f>
        <v>1000000000000</v>
      </c>
      <c r="EF21" s="211">
        <f ca="1">IF($D21&lt;&gt;"Serviço",0,IF(AND(AUTOEVENTO="Manual",$M21=1),0,IF(OFFSET(CRONOPLE!$F$14,$M21,EF$13)="",10^12,OFFSET(CRONOPLE!$F$14,$M21,EF$13))))</f>
        <v>1000000000000</v>
      </c>
      <c r="EG21" s="211">
        <f ca="1">IF($D21&lt;&gt;"Serviço",0,IF(AND(AUTOEVENTO="Manual",$M21=1),0,IF(OFFSET(CRONOPLE!$F$14,$M21,EG$13)="",10^12,OFFSET(CRONOPLE!$F$14,$M21,EG$13))))</f>
        <v>1000000000000</v>
      </c>
      <c r="EH21" s="211">
        <f ca="1">IF($D21&lt;&gt;"Serviço",0,IF(AND(AUTOEVENTO="Manual",$M21=1),0,IF(OFFSET(CRONOPLE!$F$14,$M21,EH$13)="",10^12,OFFSET(CRONOPLE!$F$14,$M21,EH$13))))</f>
        <v>1000000000000</v>
      </c>
      <c r="EI21" s="211">
        <f ca="1">IF($D21&lt;&gt;"Serviço",0,IF(AND(AUTOEVENTO="Manual",$M21=1),0,IF(OFFSET(CRONOPLE!$F$14,$M21,EI$13)="",10^12,OFFSET(CRONOPLE!$F$14,$M21,EI$13))))</f>
        <v>1000000000000</v>
      </c>
      <c r="EJ21" s="211">
        <f ca="1">IF($D21&lt;&gt;"Serviço",0,IF(AND(AUTOEVENTO="Manual",$M21=1),0,IF(OFFSET(CRONOPLE!$F$14,$M21,EJ$13)="",10^12,OFFSET(CRONOPLE!$F$14,$M21,EJ$13))))</f>
        <v>1000000000000</v>
      </c>
      <c r="EK21" s="211">
        <f ca="1">IF($D21&lt;&gt;"Serviço",0,IF(AND(AUTOEVENTO="Manual",$M21=1),0,IF(OFFSET(CRONOPLE!$F$14,$M21,EK$13)="",10^12,OFFSET(CRONOPLE!$F$14,$M21,EK$13))))</f>
        <v>1000000000000</v>
      </c>
      <c r="EL21" s="211">
        <f ca="1">IF($D21&lt;&gt;"Serviço",0,IF(AND(AUTOEVENTO="Manual",$M21=1),0,IF(OFFSET(CRONOPLE!$F$14,$M21,EL$13)="",10^12,OFFSET(CRONOPLE!$F$14,$M21,EL$13))))</f>
        <v>1000000000000</v>
      </c>
      <c r="EM21" s="211">
        <f ca="1">IF($D21&lt;&gt;"Serviço",0,IF(AND(AUTOEVENTO="Manual",$M21=1),0,IF(OFFSET(CRONOPLE!$F$14,$M21,EM$13)="",10^12,OFFSET(CRONOPLE!$F$14,$M21,EM$13))))</f>
        <v>1000000000000</v>
      </c>
      <c r="EN21" s="211">
        <f ca="1">IF($D21&lt;&gt;"Serviço",0,IF(AND(AUTOEVENTO="Manual",$M21=1),0,IF(OFFSET(CRONOPLE!$F$14,$M21,EN$13)="",10^12,OFFSET(CRONOPLE!$F$14,$M21,EN$13))))</f>
        <v>1000000000000</v>
      </c>
      <c r="EO21" s="211">
        <f ca="1">IF($D21&lt;&gt;"Serviço",0,IF(AND(AUTOEVENTO="Manual",$M21=1),0,IF(OFFSET(CRONOPLE!$F$14,$M21,EO$13)="",10^12,OFFSET(CRONOPLE!$F$14,$M21,EO$13))))</f>
        <v>1000000000000</v>
      </c>
      <c r="EP21" s="211">
        <f ca="1">IF($D21&lt;&gt;"Serviço",0,IF(AND(AUTOEVENTO="Manual",$M21=1),0,IF(OFFSET(CRONOPLE!$F$14,$M21,EP$13)="",10^12,OFFSET(CRONOPLE!$F$14,$M21,EP$13))))</f>
        <v>1000000000000</v>
      </c>
      <c r="EQ21" s="211">
        <f ca="1">IF($D21&lt;&gt;"Serviço",0,IF(AND(AUTOEVENTO="Manual",$M21=1),0,IF(OFFSET(CRONOPLE!$F$14,$M21,EQ$13)="",10^12,OFFSET(CRONOPLE!$F$14,$M21,EQ$13))))</f>
        <v>1000000000000</v>
      </c>
      <c r="ER21" s="211">
        <f ca="1">IF($D21&lt;&gt;"Serviço",0,IF(AND(AUTOEVENTO="Manual",$M21=1),0,IF(OFFSET(CRONOPLE!$F$14,$M21,ER$13)="",10^12,OFFSET(CRONOPLE!$F$14,$M21,ER$13))))</f>
        <v>1000000000000</v>
      </c>
      <c r="ES21" s="211">
        <f ca="1">IF($D21&lt;&gt;"Serviço",0,IF(AND(AUTOEVENTO="Manual",$M21=1),0,IF(OFFSET(CRONOPLE!$F$14,$M21,ES$13)="",10^12,OFFSET(CRONOPLE!$F$14,$M21,ES$13))))</f>
        <v>1000000000000</v>
      </c>
      <c r="ET21" s="211">
        <f ca="1">IF($D21&lt;&gt;"Serviço",0,IF(AND(AUTOEVENTO="Manual",$M21=1),0,IF(OFFSET(CRONOPLE!$F$14,$M21,ET$13)="",10^12,OFFSET(CRONOPLE!$F$14,$M21,ET$13))))</f>
        <v>1000000000000</v>
      </c>
      <c r="EU21" s="211">
        <f ca="1">IF($D21&lt;&gt;"Serviço",0,IF(AND(AUTOEVENTO="Manual",$M21=1),0,IF(OFFSET(CRONOPLE!$F$14,$M21,EU$13)="",10^12,OFFSET(CRONOPLE!$F$14,$M21,EU$13))))</f>
        <v>1000000000000</v>
      </c>
      <c r="EV21" s="211">
        <f ca="1">IF($D21&lt;&gt;"Serviço",0,IF(AND(AUTOEVENTO="Manual",$M21=1),0,IF(OFFSET(CRONOPLE!$F$14,$M21,EV$13)="",10^12,OFFSET(CRONOPLE!$F$14,$M21,EV$13))))</f>
        <v>1000000000000</v>
      </c>
      <c r="EW21" s="211">
        <f ca="1">IF($D21&lt;&gt;"Serviço",0,IF(AND(AUTOEVENTO="Manual",$M21=1),0,IF(OFFSET(CRONOPLE!$F$14,$M21,EW$13)="",10^12,OFFSET(CRONOPLE!$F$14,$M21,EW$13))))</f>
        <v>1000000000000</v>
      </c>
      <c r="EX21" s="211">
        <f ca="1">IF($D21&lt;&gt;"Serviço",0,IF(AND(AUTOEVENTO="Manual",$M21=1),0,IF(OFFSET(CRONOPLE!$F$14,$M21,EX$13)="",10^12,OFFSET(CRONOPLE!$F$14,$M21,EX$13))))</f>
        <v>1000000000000</v>
      </c>
      <c r="EY21" s="211">
        <f ca="1">IF($D21&lt;&gt;"Serviço",0,IF(AND(AUTOEVENTO="Manual",$M21=1),0,IF(OFFSET(CRONOPLE!$F$14,$M21,EY$13)="",10^12,OFFSET(CRONOPLE!$F$14,$M21,EY$13))))</f>
        <v>1000000000000</v>
      </c>
      <c r="EZ21" s="211">
        <f ca="1">IF($D21&lt;&gt;"Serviço",0,IF(AND(AUTOEVENTO="Manual",$M21=1),0,IF(OFFSET(CRONOPLE!$F$14,$M21,EZ$13)="",10^12,OFFSET(CRONOPLE!$F$14,$M21,EZ$13))))</f>
        <v>1000000000000</v>
      </c>
      <c r="FA21" s="211">
        <f ca="1">IF($D21&lt;&gt;"Serviço",0,IF(AND(AUTOEVENTO="Manual",$M21=1),0,IF(OFFSET(CRONOPLE!$F$14,$M21,FA$13)="",10^12,OFFSET(CRONOPLE!$F$14,$M21,FA$13))))</f>
        <v>1000000000000</v>
      </c>
      <c r="FB21" s="211">
        <f ca="1">IF($D21&lt;&gt;"Serviço",0,IF(AND(AUTOEVENTO="Manual",$M21=1),0,IF(OFFSET(CRONOPLE!$F$14,$M21,FB$13)="",10^12,OFFSET(CRONOPLE!$F$14,$M21,FB$13))))</f>
        <v>1000000000000</v>
      </c>
      <c r="FC21" s="211">
        <f ca="1">IF($D21&lt;&gt;"Serviço",0,IF(AND(AUTOEVENTO="Manual",$M21=1),0,IF(OFFSET(CRONOPLE!$F$14,$M21,FC$13)="",10^12,OFFSET(CRONOPLE!$F$14,$M21,FC$13))))</f>
        <v>1000000000000</v>
      </c>
      <c r="FD21" s="211">
        <f ca="1">IF($D21&lt;&gt;"Serviço",0,IF(AND(AUTOEVENTO="Manual",$M21=1),0,IF(OFFSET(CRONOPLE!$F$14,$M21,FD$13)="",10^12,OFFSET(CRONOPLE!$F$14,$M21,FD$13))))</f>
        <v>1000000000000</v>
      </c>
      <c r="FE21" s="211">
        <f ca="1">IF($D21&lt;&gt;"Serviço",0,IF(AND(AUTOEVENTO="Manual",$M21=1),0,IF(OFFSET(CRONOPLE!$F$14,$M21,FE$13)="",10^12,OFFSET(CRONOPLE!$F$14,$M21,FE$13))))</f>
        <v>1000000000000</v>
      </c>
      <c r="FF21" s="211">
        <f ca="1">IF($D21&lt;&gt;"Serviço",0,IF(AND(AUTOEVENTO="Manual",$M21=1),0,IF(OFFSET(CRONOPLE!$F$14,$M21,FF$13)="",10^12,OFFSET(CRONOPLE!$F$14,$M21,FF$13))))</f>
        <v>1000000000000</v>
      </c>
      <c r="FG21" s="211">
        <f ca="1">IF($D21&lt;&gt;"Serviço",0,IF(AND(AUTOEVENTO="Manual",$M21=1),0,IF(OFFSET(CRONOPLE!$F$14,$M21,FG$13)="",10^12,OFFSET(CRONOPLE!$F$14,$M21,FG$13))))</f>
        <v>1000000000000</v>
      </c>
      <c r="FH21" s="211">
        <f ca="1">IF($D21&lt;&gt;"Serviço",0,IF(AND(AUTOEVENTO="Manual",$M21=1),0,IF(OFFSET(CRONOPLE!$F$14,$M21,FH$13)="",10^12,OFFSET(CRONOPLE!$F$14,$M21,FH$13))))</f>
        <v>1000000000000</v>
      </c>
      <c r="FI21" s="211">
        <f ca="1">IF($D21&lt;&gt;"Serviço",0,IF(AND(AUTOEVENTO="Manual",$M21=1),0,IF(OFFSET(CRONOPLE!$F$14,$M21,FI$13)="",10^12,OFFSET(CRONOPLE!$F$14,$M21,FI$13))))</f>
        <v>1000000000000</v>
      </c>
      <c r="FJ21" s="211">
        <f ca="1">IF($D21&lt;&gt;"Serviço",0,IF(AND(AUTOEVENTO="Manual",$M21=1),0,IF(OFFSET(CRONOPLE!$F$14,$M21,FJ$13)="",10^12,OFFSET(CRONOPLE!$F$14,$M21,FJ$13))))</f>
        <v>1000000000000</v>
      </c>
      <c r="FK21" s="211">
        <f ca="1">IF($D21&lt;&gt;"Serviço",0,IF(AND(AUTOEVENTO="Manual",$M21=1),0,IF(OFFSET(CRONOPLE!$F$14,$M21,FK$13)="",10^12,OFFSET(CRONOPLE!$F$14,$M21,FK$13))))</f>
        <v>1000000000000</v>
      </c>
      <c r="FL21" s="211">
        <f ca="1">IF($D21&lt;&gt;"Serviço",0,IF(AND(AUTOEVENTO="Manual",$M21=1),0,IF(OFFSET(CRONOPLE!$F$14,$M21,FL$13)="",10^12,OFFSET(CRONOPLE!$F$14,$M21,FL$13))))</f>
        <v>1000000000000</v>
      </c>
      <c r="FN21" s="212">
        <f ca="1">IF($D21&lt;&gt;"Serviço",0,IF(OR(AND(AUTOEVENTO="Manual",$M21=1),$M21&gt;(ROW(PLE.lastrow)-ROW(PLE.firstrow))),0,IF(OFFSET(PLE!$G$14,$M21,FN$13)="",10^12,OFFSET(PLE!$G$14,$M21,FN$13))))</f>
        <v>1000000000000</v>
      </c>
      <c r="FO21" s="212">
        <f ca="1">IF($D21&lt;&gt;"Serviço",0,IF(OR(AND(AUTOEVENTO="Manual",$M21=1),$M21&gt;(ROW(PLE.lastrow)-ROW(PLE.firstrow))),0,IF(OFFSET(PLE!$G$14,$M21,FO$13)="",10^12,OFFSET(PLE!$G$14,$M21,FO$13))))</f>
        <v>1000000000000</v>
      </c>
      <c r="FP21" s="212">
        <f ca="1">IF($D21&lt;&gt;"Serviço",0,IF(OR(AND(AUTOEVENTO="Manual",$M21=1),$M21&gt;(ROW(PLE.lastrow)-ROW(PLE.firstrow))),0,IF(OFFSET(PLE!$G$14,$M21,FP$13)="",10^12,OFFSET(PLE!$G$14,$M21,FP$13))))</f>
        <v>1000000000000</v>
      </c>
      <c r="FQ21" s="212">
        <f ca="1">IF($D21&lt;&gt;"Serviço",0,IF(OR(AND(AUTOEVENTO="Manual",$M21=1),$M21&gt;(ROW(PLE.lastrow)-ROW(PLE.firstrow))),0,IF(OFFSET(PLE!$G$14,$M21,FQ$13)="",10^12,OFFSET(PLE!$G$14,$M21,FQ$13))))</f>
        <v>1000000000000</v>
      </c>
      <c r="FR21" s="212">
        <f ca="1">IF($D21&lt;&gt;"Serviço",0,IF(OR(AND(AUTOEVENTO="Manual",$M21=1),$M21&gt;(ROW(PLE.lastrow)-ROW(PLE.firstrow))),0,IF(OFFSET(PLE!$G$14,$M21,FR$13)="",10^12,OFFSET(PLE!$G$14,$M21,FR$13))))</f>
        <v>1000000000000</v>
      </c>
      <c r="FS21" s="212">
        <f ca="1">IF($D21&lt;&gt;"Serviço",0,IF(OR(AND(AUTOEVENTO="Manual",$M21=1),$M21&gt;(ROW(PLE.lastrow)-ROW(PLE.firstrow))),0,IF(OFFSET(PLE!$G$14,$M21,FS$13)="",10^12,OFFSET(PLE!$G$14,$M21,FS$13))))</f>
        <v>1000000000000</v>
      </c>
      <c r="FT21" s="212">
        <f ca="1">IF($D21&lt;&gt;"Serviço",0,IF(OR(AND(AUTOEVENTO="Manual",$M21=1),$M21&gt;(ROW(PLE.lastrow)-ROW(PLE.firstrow))),0,IF(OFFSET(PLE!$G$14,$M21,FT$13)="",10^12,OFFSET(PLE!$G$14,$M21,FT$13))))</f>
        <v>1000000000000</v>
      </c>
      <c r="FU21" s="212">
        <f ca="1">IF($D21&lt;&gt;"Serviço",0,IF(OR(AND(AUTOEVENTO="Manual",$M21=1),$M21&gt;(ROW(PLE.lastrow)-ROW(PLE.firstrow))),0,IF(OFFSET(PLE!$G$14,$M21,FU$13)="",10^12,OFFSET(PLE!$G$14,$M21,FU$13))))</f>
        <v>1000000000000</v>
      </c>
      <c r="FV21" s="212">
        <f ca="1">IF($D21&lt;&gt;"Serviço",0,IF(OR(AND(AUTOEVENTO="Manual",$M21=1),$M21&gt;(ROW(PLE.lastrow)-ROW(PLE.firstrow))),0,IF(OFFSET(PLE!$G$14,$M21,FV$13)="",10^12,OFFSET(PLE!$G$14,$M21,FV$13))))</f>
        <v>1000000000000</v>
      </c>
      <c r="FW21" s="212">
        <f ca="1">IF($D21&lt;&gt;"Serviço",0,IF(OR(AND(AUTOEVENTO="Manual",$M21=1),$M21&gt;(ROW(PLE.lastrow)-ROW(PLE.firstrow))),0,IF(OFFSET(PLE!$G$14,$M21,FW$13)="",10^12,OFFSET(PLE!$G$14,$M21,FW$13))))</f>
        <v>1000000000000</v>
      </c>
      <c r="FX21" s="212">
        <f ca="1">IF($D21&lt;&gt;"Serviço",0,IF(OR(AND(AUTOEVENTO="Manual",$M21=1),$M21&gt;(ROW(PLE.lastrow)-ROW(PLE.firstrow))),0,IF(OFFSET(PLE!$G$14,$M21,FX$13)="",10^12,OFFSET(PLE!$G$14,$M21,FX$13))))</f>
        <v>1000000000000</v>
      </c>
      <c r="FY21" s="212">
        <f ca="1">IF($D21&lt;&gt;"Serviço",0,IF(OR(AND(AUTOEVENTO="Manual",$M21=1),$M21&gt;(ROW(PLE.lastrow)-ROW(PLE.firstrow))),0,IF(OFFSET(PLE!$G$14,$M21,FY$13)="",10^12,OFFSET(PLE!$G$14,$M21,FY$13))))</f>
        <v>1000000000000</v>
      </c>
      <c r="FZ21" s="212">
        <f ca="1">IF($D21&lt;&gt;"Serviço",0,IF(OR(AND(AUTOEVENTO="Manual",$M21=1),$M21&gt;(ROW(PLE.lastrow)-ROW(PLE.firstrow))),0,IF(OFFSET(PLE!$G$14,$M21,FZ$13)="",10^12,OFFSET(PLE!$G$14,$M21,FZ$13))))</f>
        <v>1000000000000</v>
      </c>
      <c r="GA21" s="212">
        <f ca="1">IF($D21&lt;&gt;"Serviço",0,IF(OR(AND(AUTOEVENTO="Manual",$M21=1),$M21&gt;(ROW(PLE.lastrow)-ROW(PLE.firstrow))),0,IF(OFFSET(PLE!$G$14,$M21,GA$13)="",10^12,OFFSET(PLE!$G$14,$M21,GA$13))))</f>
        <v>1000000000000</v>
      </c>
      <c r="GB21" s="212">
        <f ca="1">IF($D21&lt;&gt;"Serviço",0,IF(OR(AND(AUTOEVENTO="Manual",$M21=1),$M21&gt;(ROW(PLE.lastrow)-ROW(PLE.firstrow))),0,IF(OFFSET(PLE!$G$14,$M21,GB$13)="",10^12,OFFSET(PLE!$G$14,$M21,GB$13))))</f>
        <v>1000000000000</v>
      </c>
      <c r="GC21" s="212">
        <f ca="1">IF($D21&lt;&gt;"Serviço",0,IF(OR(AND(AUTOEVENTO="Manual",$M21=1),$M21&gt;(ROW(PLE.lastrow)-ROW(PLE.firstrow))),0,IF(OFFSET(PLE!$G$14,$M21,GC$13)="",10^12,OFFSET(PLE!$G$14,$M21,GC$13))))</f>
        <v>1000000000000</v>
      </c>
      <c r="GD21" s="212">
        <f ca="1">IF($D21&lt;&gt;"Serviço",0,IF(OR(AND(AUTOEVENTO="Manual",$M21=1),$M21&gt;(ROW(PLE.lastrow)-ROW(PLE.firstrow))),0,IF(OFFSET(PLE!$G$14,$M21,GD$13)="",10^12,OFFSET(PLE!$G$14,$M21,GD$13))))</f>
        <v>1000000000000</v>
      </c>
      <c r="GE21" s="212">
        <f ca="1">IF($D21&lt;&gt;"Serviço",0,IF(OR(AND(AUTOEVENTO="Manual",$M21=1),$M21&gt;(ROW(PLE.lastrow)-ROW(PLE.firstrow))),0,IF(OFFSET(PLE!$G$14,$M21,GE$13)="",10^12,OFFSET(PLE!$G$14,$M21,GE$13))))</f>
        <v>1000000000000</v>
      </c>
      <c r="GF21" s="212">
        <f ca="1">IF($D21&lt;&gt;"Serviço",0,IF(OR(AND(AUTOEVENTO="Manual",$M21=1),$M21&gt;(ROW(PLE.lastrow)-ROW(PLE.firstrow))),0,IF(OFFSET(PLE!$G$14,$M21,GF$13)="",10^12,OFFSET(PLE!$G$14,$M21,GF$13))))</f>
        <v>1000000000000</v>
      </c>
      <c r="GG21" s="212">
        <f ca="1">IF($D21&lt;&gt;"Serviço",0,IF(OR(AND(AUTOEVENTO="Manual",$M21=1),$M21&gt;(ROW(PLE.lastrow)-ROW(PLE.firstrow))),0,IF(OFFSET(PLE!$G$14,$M21,GG$13)="",10^12,OFFSET(PLE!$G$14,$M21,GG$13))))</f>
        <v>1000000000000</v>
      </c>
      <c r="GH21" s="212">
        <f ca="1">IF($D21&lt;&gt;"Serviço",0,IF(OR(AND(AUTOEVENTO="Manual",$M21=1),$M21&gt;(ROW(PLE.lastrow)-ROW(PLE.firstrow))),0,IF(OFFSET(PLE!$G$14,$M21,GH$13)="",10^12,OFFSET(PLE!$G$14,$M21,GH$13))))</f>
        <v>1000000000000</v>
      </c>
      <c r="GI21" s="212">
        <f ca="1">IF($D21&lt;&gt;"Serviço",0,IF(OR(AND(AUTOEVENTO="Manual",$M21=1),$M21&gt;(ROW(PLE.lastrow)-ROW(PLE.firstrow))),0,IF(OFFSET(PLE!$G$14,$M21,GI$13)="",10^12,OFFSET(PLE!$G$14,$M21,GI$13))))</f>
        <v>1000000000000</v>
      </c>
      <c r="GJ21" s="212">
        <f ca="1">IF($D21&lt;&gt;"Serviço",0,IF(OR(AND(AUTOEVENTO="Manual",$M21=1),$M21&gt;(ROW(PLE.lastrow)-ROW(PLE.firstrow))),0,IF(OFFSET(PLE!$G$14,$M21,GJ$13)="",10^12,OFFSET(PLE!$G$14,$M21,GJ$13))))</f>
        <v>1000000000000</v>
      </c>
      <c r="GK21" s="212">
        <f ca="1">IF($D21&lt;&gt;"Serviço",0,IF(OR(AND(AUTOEVENTO="Manual",$M21=1),$M21&gt;(ROW(PLE.lastrow)-ROW(PLE.firstrow))),0,IF(OFFSET(PLE!$G$14,$M21,GK$13)="",10^12,OFFSET(PLE!$G$14,$M21,GK$13))))</f>
        <v>1000000000000</v>
      </c>
      <c r="GL21" s="212">
        <f ca="1">IF($D21&lt;&gt;"Serviço",0,IF(OR(AND(AUTOEVENTO="Manual",$M21=1),$M21&gt;(ROW(PLE.lastrow)-ROW(PLE.firstrow))),0,IF(OFFSET(PLE!$G$14,$M21,GL$13)="",10^12,OFFSET(PLE!$G$14,$M21,GL$13))))</f>
        <v>1000000000000</v>
      </c>
      <c r="GM21" s="212">
        <f ca="1">IF($D21&lt;&gt;"Serviço",0,IF(OR(AND(AUTOEVENTO="Manual",$M21=1),$M21&gt;(ROW(PLE.lastrow)-ROW(PLE.firstrow))),0,IF(OFFSET(PLE!$G$14,$M21,GM$13)="",10^12,OFFSET(PLE!$G$14,$M21,GM$13))))</f>
        <v>1000000000000</v>
      </c>
      <c r="GN21" s="212">
        <f ca="1">IF($D21&lt;&gt;"Serviço",0,IF(OR(AND(AUTOEVENTO="Manual",$M21=1),$M21&gt;(ROW(PLE.lastrow)-ROW(PLE.firstrow))),0,IF(OFFSET(PLE!$G$14,$M21,GN$13)="",10^12,OFFSET(PLE!$G$14,$M21,GN$13))))</f>
        <v>1000000000000</v>
      </c>
      <c r="GO21" s="212">
        <f ca="1">IF($D21&lt;&gt;"Serviço",0,IF(OR(AND(AUTOEVENTO="Manual",$M21=1),$M21&gt;(ROW(PLE.lastrow)-ROW(PLE.firstrow))),0,IF(OFFSET(PLE!$G$14,$M21,GO$13)="",10^12,OFFSET(PLE!$G$14,$M21,GO$13))))</f>
        <v>1000000000000</v>
      </c>
      <c r="GP21" s="212">
        <f ca="1">IF($D21&lt;&gt;"Serviço",0,IF(OR(AND(AUTOEVENTO="Manual",$M21=1),$M21&gt;(ROW(PLE.lastrow)-ROW(PLE.firstrow))),0,IF(OFFSET(PLE!$G$14,$M21,GP$13)="",10^12,OFFSET(PLE!$G$14,$M21,GP$13))))</f>
        <v>1000000000000</v>
      </c>
      <c r="GQ21" s="212">
        <f ca="1">IF($D21&lt;&gt;"Serviço",0,IF(OR(AND(AUTOEVENTO="Manual",$M21=1),$M21&gt;(ROW(PLE.lastrow)-ROW(PLE.firstrow))),0,IF(OFFSET(PLE!$G$14,$M21,GQ$13)="",10^12,OFFSET(PLE!$G$14,$M21,GQ$13))))</f>
        <v>1000000000000</v>
      </c>
      <c r="GR21" s="212">
        <f ca="1">IF($D21&lt;&gt;"Serviço",0,IF(OR(AND(AUTOEVENTO="Manual",$M21=1),$M21&gt;(ROW(PLE.lastrow)-ROW(PLE.firstrow))),0,IF(OFFSET(PLE!$G$14,$M21,GR$13)="",10^12,OFFSET(PLE!$G$14,$M21,GR$13))))</f>
        <v>1000000000000</v>
      </c>
      <c r="GS21" s="212">
        <f ca="1">IF($D21&lt;&gt;"Serviço",0,IF(OR(AND(AUTOEVENTO="Manual",$M21=1),$M21&gt;(ROW(PLE.lastrow)-ROW(PLE.firstrow))),0,IF(OFFSET(PLE!$G$14,$M21,GS$13)="",10^12,OFFSET(PLE!$G$14,$M21,GS$13))))</f>
        <v>1000000000000</v>
      </c>
      <c r="GT21" s="212">
        <f ca="1">IF($D21&lt;&gt;"Serviço",0,IF(OR(AND(AUTOEVENTO="Manual",$M21=1),$M21&gt;(ROW(PLE.lastrow)-ROW(PLE.firstrow))),0,IF(OFFSET(PLE!$G$14,$M21,GT$13)="",10^12,OFFSET(PLE!$G$14,$M21,GT$13))))</f>
        <v>1000000000000</v>
      </c>
      <c r="GU21" s="212">
        <f ca="1">IF($D21&lt;&gt;"Serviço",0,IF(OR(AND(AUTOEVENTO="Manual",$M21=1),$M21&gt;(ROW(PLE.lastrow)-ROW(PLE.firstrow))),0,IF(OFFSET(PLE!$G$14,$M21,GU$13)="",10^12,OFFSET(PLE!$G$14,$M21,GU$13))))</f>
        <v>1000000000000</v>
      </c>
      <c r="GV21" s="212">
        <f ca="1">IF($D21&lt;&gt;"Serviço",0,IF(OR(AND(AUTOEVENTO="Manual",$M21=1),$M21&gt;(ROW(PLE.lastrow)-ROW(PLE.firstrow))),0,IF(OFFSET(PLE!$G$14,$M21,GV$13)="",10^12,OFFSET(PLE!$G$14,$M21,GV$13))))</f>
        <v>1000000000000</v>
      </c>
      <c r="GW21" s="212">
        <f ca="1">IF($D21&lt;&gt;"Serviço",0,IF(OR(AND(AUTOEVENTO="Manual",$M21=1),$M21&gt;(ROW(PLE.lastrow)-ROW(PLE.firstrow))),0,IF(OFFSET(PLE!$G$14,$M21,GW$13)="",10^12,OFFSET(PLE!$G$14,$M21,GW$13))))</f>
        <v>1000000000000</v>
      </c>
      <c r="GX21" s="212">
        <f ca="1">IF($D21&lt;&gt;"Serviço",0,IF(OR(AND(AUTOEVENTO="Manual",$M21=1),$M21&gt;(ROW(PLE.lastrow)-ROW(PLE.firstrow))),0,IF(OFFSET(PLE!$G$14,$M21,GX$13)="",10^12,OFFSET(PLE!$G$14,$M21,GX$13))))</f>
        <v>1000000000000</v>
      </c>
      <c r="GY21" s="212">
        <f ca="1">IF($D21&lt;&gt;"Serviço",0,IF(OR(AND(AUTOEVENTO="Manual",$M21=1),$M21&gt;(ROW(PLE.lastrow)-ROW(PLE.firstrow))),0,IF(OFFSET(PLE!$G$14,$M21,GY$13)="",10^12,OFFSET(PLE!$G$14,$M21,GY$13))))</f>
        <v>1000000000000</v>
      </c>
      <c r="GZ21" s="212">
        <f ca="1">IF($D21&lt;&gt;"Serviço",0,IF(OR(AND(AUTOEVENTO="Manual",$M21=1),$M21&gt;(ROW(PLE.lastrow)-ROW(PLE.firstrow))),0,IF(OFFSET(PLE!$G$14,$M21,GZ$13)="",10^12,OFFSET(PLE!$G$14,$M21,GZ$13))))</f>
        <v>1000000000000</v>
      </c>
      <c r="HA21" s="212">
        <f ca="1">IF($D21&lt;&gt;"Serviço",0,IF(OR(AND(AUTOEVENTO="Manual",$M21=1),$M21&gt;(ROW(PLE.lastrow)-ROW(PLE.firstrow))),0,IF(OFFSET(PLE!$G$14,$M21,HA$13)="",10^12,OFFSET(PLE!$G$14,$M21,HA$13))))</f>
        <v>1000000000000</v>
      </c>
      <c r="HB21" s="212">
        <f ca="1">IF($D21&lt;&gt;"Serviço",0,IF(OR(AND(AUTOEVENTO="Manual",$M21=1),$M21&gt;(ROW(PLE.lastrow)-ROW(PLE.firstrow))),0,IF(OFFSET(PLE!$G$14,$M21,HB$13)="",10^12,OFFSET(PLE!$G$14,$M21,HB$13))))</f>
        <v>1000000000000</v>
      </c>
      <c r="HC21" s="212">
        <f ca="1">IF($D21&lt;&gt;"Serviço",0,IF(OR(AND(AUTOEVENTO="Manual",$M21=1),$M21&gt;(ROW(PLE.lastrow)-ROW(PLE.firstrow))),0,IF(OFFSET(PLE!$G$14,$M21,HC$13)="",10^12,OFFSET(PLE!$G$14,$M21,HC$13))))</f>
        <v>1000000000000</v>
      </c>
      <c r="HD21" s="212">
        <f ca="1">IF($D21&lt;&gt;"Serviço",0,IF(OR(AND(AUTOEVENTO="Manual",$M21=1),$M21&gt;(ROW(PLE.lastrow)-ROW(PLE.firstrow))),0,IF(OFFSET(PLE!$G$14,$M21,HD$13)="",10^12,OFFSET(PLE!$G$14,$M21,HD$13))))</f>
        <v>1000000000000</v>
      </c>
      <c r="HE21" s="212">
        <f ca="1">IF($D21&lt;&gt;"Serviço",0,IF(OR(AND(AUTOEVENTO="Manual",$M21=1),$M21&gt;(ROW(PLE.lastrow)-ROW(PLE.firstrow))),0,IF(OFFSET(PLE!$G$14,$M21,HE$13)="",10^12,OFFSET(PLE!$G$14,$M21,HE$13))))</f>
        <v>1000000000000</v>
      </c>
      <c r="HF21" s="212">
        <f ca="1">IF($D21&lt;&gt;"Serviço",0,IF(OR(AND(AUTOEVENTO="Manual",$M21=1),$M21&gt;(ROW(PLE.lastrow)-ROW(PLE.firstrow))),0,IF(OFFSET(PLE!$G$14,$M21,HF$13)="",10^12,OFFSET(PLE!$G$14,$M21,HF$13))))</f>
        <v>1000000000000</v>
      </c>
      <c r="HG21" s="212">
        <f ca="1">IF($D21&lt;&gt;"Serviço",0,IF(OR(AND(AUTOEVENTO="Manual",$M21=1),$M21&gt;(ROW(PLE.lastrow)-ROW(PLE.firstrow))),0,IF(OFFSET(PLE!$G$14,$M21,HG$13)="",10^12,OFFSET(PLE!$G$14,$M21,HG$13))))</f>
        <v>1000000000000</v>
      </c>
      <c r="HH21" s="212">
        <f ca="1">IF($D21&lt;&gt;"Serviço",0,IF(OR(AND(AUTOEVENTO="Manual",$M21=1),$M21&gt;(ROW(PLE.lastrow)-ROW(PLE.firstrow))),0,IF(OFFSET(PLE!$G$14,$M21,HH$13)="",10^12,OFFSET(PLE!$G$14,$M21,HH$13))))</f>
        <v>1000000000000</v>
      </c>
      <c r="HI21" s="212">
        <f ca="1">IF($D21&lt;&gt;"Serviço",0,IF(OR(AND(AUTOEVENTO="Manual",$M21=1),$M21&gt;(ROW(PLE.lastrow)-ROW(PLE.firstrow))),0,IF(OFFSET(PLE!$G$14,$M21,HI$13)="",10^12,OFFSET(PLE!$G$14,$M21,HI$13))))</f>
        <v>1000000000000</v>
      </c>
      <c r="HJ21" s="212">
        <f ca="1">IF($D21&lt;&gt;"Serviço",0,IF(OR(AND(AUTOEVENTO="Manual",$M21=1),$M21&gt;(ROW(PLE.lastrow)-ROW(PLE.firstrow))),0,IF(OFFSET(PLE!$G$14,$M21,HJ$13)="",10^12,OFFSET(PLE!$G$14,$M21,HJ$13))))</f>
        <v>1000000000000</v>
      </c>
      <c r="HK21" s="212">
        <f ca="1">IF($D21&lt;&gt;"Serviço",0,IF(OR(AND(AUTOEVENTO="Manual",$M21=1),$M21&gt;(ROW(PLE.lastrow)-ROW(PLE.firstrow))),0,IF(OFFSET(PLE!$G$14,$M21,HK$13)="",10^12,OFFSET(PLE!$G$14,$M21,HK$13))))</f>
        <v>1000000000000</v>
      </c>
    </row>
    <row r="22" spans="1:219" ht="12.75" x14ac:dyDescent="0.2">
      <c r="A22" s="9" t="str">
        <f ca="1">IF(AUTOEVENTO="Manual",IF(K22&lt;&gt;"",MIN(VALUE(LEFT(K22,FIND(".",K22)-1)),COUNTA(EVENTOS.Lista)),0),IF(OR($B22&gt;AUTOEVENTO,$B22="S",$B22=0),SUBSTITUTE(OFFSET($A22,-1,0),IF($D22="Serviço",".",""),""),ROW(A22)-ROW($A$15)&amp;"."))</f>
        <v>7.</v>
      </c>
      <c r="B22" s="9">
        <f ca="1">OFFSET(ORÇAMENTO!C$15,ROW(B22)-ROW(B$15),0)</f>
        <v>2</v>
      </c>
      <c r="C22" s="9" t="str">
        <f ca="1">OFFSET(ORÇAMENTO!L$15,ROW(C22)-ROW(C$15),0)</f>
        <v>F</v>
      </c>
      <c r="D22" s="141" t="str">
        <f ca="1">OFFSET(ORÇAMENTO!N$15,ROW(D22)-ROW(D$15),0)</f>
        <v>Nível 2</v>
      </c>
      <c r="E22" s="201" t="str">
        <f ca="1">OFFSET(ORÇAMENTO!O$15,ROW(E22)-ROW(E$15),0)</f>
        <v>1.3.</v>
      </c>
      <c r="F22" s="202" t="str">
        <f ca="1">OFFSET(ORÇAMENTO!R$15,ROW(F22)-ROW(F$15),0)</f>
        <v>PAVIMENTAÇÃO DE VIAS</v>
      </c>
      <c r="G22" s="203" t="str">
        <f ca="1">IF($D22&lt;&gt;"Serviço","",OFFSET(ORÇAMENTO!S$15,ROW(G22)-ROW(G$15),0))</f>
        <v/>
      </c>
      <c r="H22" s="147">
        <f ca="1">IF($D22&lt;&gt;"Serviço",0,IF(ACOMPANHAMENTO="BM",ROUND(OFFSET(ORÇAMENTO!AJ$15,ROW(H22)-ROW(H$15),0),15-13*ORÇAMENTO!$AF$7),SUMPRODUCT(($Q$12:$BO$12&lt;&gt;"")*ROUND($Q22:$BO22,15-13*ORÇAMENTO!$AF$7))))</f>
        <v>0</v>
      </c>
      <c r="I22" s="646"/>
      <c r="K22" s="204"/>
      <c r="L22" s="205" t="s">
        <v>257</v>
      </c>
      <c r="M22" s="206" t="str">
        <f ca="1">IF($D22&lt;&gt;"Serviço","",IF(AUTOEVENTO="manual",$A22,IF(ISERROR(MATCH($A22,$A$15:OFFSET($A22,-1,0),0)),MAX($M$15:OFFSET(M22,-1,0))+1,INDEX($M$15:OFFSET(M22,-1,0),MATCH($A22,$A$15:OFFSET($A22,-1,0),0)))))</f>
        <v/>
      </c>
      <c r="N22" s="207" t="str">
        <f ca="1">IF($D22&lt;&gt;"Serviço","",IF(AUTOEVENTO="Manual",IF($A22=0,"&lt;-- defina o número do agrupador",OFFSET(EVENTOS!$D$14,$A22,0)),OFFSET($F$15,$A22,0)))</f>
        <v/>
      </c>
      <c r="O22" s="208"/>
      <c r="Q22" s="208"/>
      <c r="R22" s="209"/>
      <c r="S22" s="209"/>
      <c r="T22" s="209"/>
      <c r="U22" s="209"/>
      <c r="V22" s="209"/>
      <c r="W22" s="209"/>
      <c r="X22" s="209"/>
      <c r="Y22" s="209"/>
      <c r="Z22" s="210"/>
      <c r="AA22" s="209"/>
      <c r="AB22" s="209"/>
      <c r="AC22" s="209"/>
      <c r="AD22" s="209"/>
      <c r="AE22" s="209"/>
      <c r="AF22" s="209"/>
      <c r="AG22" s="209"/>
      <c r="AH22" s="210"/>
      <c r="AI22" s="209"/>
      <c r="AJ22" s="209"/>
      <c r="AK22" s="209"/>
      <c r="AL22" s="209"/>
      <c r="AM22" s="209"/>
      <c r="AN22" s="209"/>
      <c r="AO22" s="209"/>
      <c r="AP22" s="210"/>
      <c r="AQ22" s="209"/>
      <c r="AR22" s="209"/>
      <c r="AS22" s="209"/>
      <c r="AT22" s="209"/>
      <c r="AU22" s="209"/>
      <c r="AV22" s="209"/>
      <c r="AW22" s="209"/>
      <c r="AX22" s="210"/>
      <c r="AY22" s="209"/>
      <c r="AZ22" s="209"/>
      <c r="BA22" s="209"/>
      <c r="BB22" s="209"/>
      <c r="BC22" s="209"/>
      <c r="BD22" s="209"/>
      <c r="BE22" s="209"/>
      <c r="BF22" s="210"/>
      <c r="BG22" s="209"/>
      <c r="BH22" s="209"/>
      <c r="BI22" s="209"/>
      <c r="BJ22" s="209"/>
      <c r="BK22" s="209"/>
      <c r="BL22" s="209"/>
      <c r="BM22" s="209"/>
      <c r="BN22" s="210"/>
      <c r="BP22" s="627">
        <f ca="1">IF(AND($D22="Serviço",BP$12&lt;&gt;0,$H22&gt;0,OR(AUTOEVENTO&lt;&gt;"manual",$M22&lt;&gt;1)),ROUND(OFFSET($P22,0,BP$13),15-13*ORÇAMENTO!$AF$7)/$H22*OFFSET(ORÇAMENTO!$X$15,ROW(BP22)-ROW(BP$15),0),0)</f>
        <v>0</v>
      </c>
      <c r="BQ22" s="628">
        <f ca="1">IF(AND($D22="Serviço",BQ$12&lt;&gt;0,$H22&gt;0,OR(AUTOEVENTO&lt;&gt;"manual",$M22&lt;&gt;1)),ROUND(OFFSET($P22,0,BQ$13),15-13*ORÇAMENTO!$AF$7)/$H22*OFFSET(ORÇAMENTO!$X$15,ROW(BQ22)-ROW(BQ$15),0),0)</f>
        <v>0</v>
      </c>
      <c r="BR22" s="628">
        <f ca="1">IF(AND($D22="Serviço",BR$12&lt;&gt;0,$H22&gt;0,OR(AUTOEVENTO&lt;&gt;"manual",$M22&lt;&gt;1)),ROUND(OFFSET($P22,0,BR$13),15-13*ORÇAMENTO!$AF$7)/$H22*OFFSET(ORÇAMENTO!$X$15,ROW(BR22)-ROW(BR$15),0),0)</f>
        <v>0</v>
      </c>
      <c r="BS22" s="628">
        <f ca="1">IF(AND($D22="Serviço",BS$12&lt;&gt;0,$H22&gt;0,OR(AUTOEVENTO&lt;&gt;"manual",$M22&lt;&gt;1)),ROUND(OFFSET($P22,0,BS$13),15-13*ORÇAMENTO!$AF$7)/$H22*OFFSET(ORÇAMENTO!$X$15,ROW(BS22)-ROW(BS$15),0),0)</f>
        <v>0</v>
      </c>
      <c r="BT22" s="628">
        <f ca="1">IF(AND($D22="Serviço",BT$12&lt;&gt;0,$H22&gt;0,OR(AUTOEVENTO&lt;&gt;"manual",$M22&lt;&gt;1)),ROUND(OFFSET($P22,0,BT$13),15-13*ORÇAMENTO!$AF$7)/$H22*OFFSET(ORÇAMENTO!$X$15,ROW(BT22)-ROW(BT$15),0),0)</f>
        <v>0</v>
      </c>
      <c r="BU22" s="628">
        <f ca="1">IF(AND($D22="Serviço",BU$12&lt;&gt;0,$H22&gt;0,OR(AUTOEVENTO&lt;&gt;"manual",$M22&lt;&gt;1)),ROUND(OFFSET($P22,0,BU$13),15-13*ORÇAMENTO!$AF$7)/$H22*OFFSET(ORÇAMENTO!$X$15,ROW(BU22)-ROW(BU$15),0),0)</f>
        <v>0</v>
      </c>
      <c r="BV22" s="628">
        <f ca="1">IF(AND($D22="Serviço",BV$12&lt;&gt;0,$H22&gt;0,OR(AUTOEVENTO&lt;&gt;"manual",$M22&lt;&gt;1)),ROUND(OFFSET($P22,0,BV$13),15-13*ORÇAMENTO!$AF$7)/$H22*OFFSET(ORÇAMENTO!$X$15,ROW(BV22)-ROW(BV$15),0),0)</f>
        <v>0</v>
      </c>
      <c r="BW22" s="628">
        <f ca="1">IF(AND($D22="Serviço",BW$12&lt;&gt;0,$H22&gt;0,OR(AUTOEVENTO&lt;&gt;"manual",$M22&lt;&gt;1)),ROUND(OFFSET($P22,0,BW$13),15-13*ORÇAMENTO!$AF$7)/$H22*OFFSET(ORÇAMENTO!$X$15,ROW(BW22)-ROW(BW$15),0),0)</f>
        <v>0</v>
      </c>
      <c r="BX22" s="628">
        <f ca="1">IF(AND($D22="Serviço",BX$12&lt;&gt;0,$H22&gt;0,OR(AUTOEVENTO&lt;&gt;"manual",$M22&lt;&gt;1)),ROUND(OFFSET($P22,0,BX$13),15-13*ORÇAMENTO!$AF$7)/$H22*OFFSET(ORÇAMENTO!$X$15,ROW(BX22)-ROW(BX$15),0),0)</f>
        <v>0</v>
      </c>
      <c r="BY22" s="629">
        <f ca="1">IF(AND($D22="Serviço",BY$12&lt;&gt;0,$H22&gt;0,OR(AUTOEVENTO&lt;&gt;"manual",$M22&lt;&gt;1)),ROUND(OFFSET($P22,0,BY$13),15-13*ORÇAMENTO!$AF$7)/$H22*OFFSET(ORÇAMENTO!$X$15,ROW(BY22)-ROW(BY$15),0),0)</f>
        <v>0</v>
      </c>
      <c r="BZ22" s="628">
        <f ca="1">IF(AND($D22="Serviço",BZ$12&lt;&gt;0,$H22&gt;0,OR(AUTOEVENTO&lt;&gt;"manual",$M22&lt;&gt;1)),ROUND(OFFSET($P22,0,BZ$13),15-13*ORÇAMENTO!$AF$7)/$H22*OFFSET(ORÇAMENTO!$X$15,ROW(BZ22)-ROW(BZ$15),0),0)</f>
        <v>0</v>
      </c>
      <c r="CA22" s="628">
        <f ca="1">IF(AND($D22="Serviço",CA$12&lt;&gt;0,$H22&gt;0,OR(AUTOEVENTO&lt;&gt;"manual",$M22&lt;&gt;1)),ROUND(OFFSET($P22,0,CA$13),15-13*ORÇAMENTO!$AF$7)/$H22*OFFSET(ORÇAMENTO!$X$15,ROW(CA22)-ROW(CA$15),0),0)</f>
        <v>0</v>
      </c>
      <c r="CB22" s="628">
        <f ca="1">IF(AND($D22="Serviço",CB$12&lt;&gt;0,$H22&gt;0,OR(AUTOEVENTO&lt;&gt;"manual",$M22&lt;&gt;1)),ROUND(OFFSET($P22,0,CB$13),15-13*ORÇAMENTO!$AF$7)/$H22*OFFSET(ORÇAMENTO!$X$15,ROW(CB22)-ROW(CB$15),0),0)</f>
        <v>0</v>
      </c>
      <c r="CC22" s="628">
        <f ca="1">IF(AND($D22="Serviço",CC$12&lt;&gt;0,$H22&gt;0,OR(AUTOEVENTO&lt;&gt;"manual",$M22&lt;&gt;1)),ROUND(OFFSET($P22,0,CC$13),15-13*ORÇAMENTO!$AF$7)/$H22*OFFSET(ORÇAMENTO!$X$15,ROW(CC22)-ROW(CC$15),0),0)</f>
        <v>0</v>
      </c>
      <c r="CD22" s="628">
        <f ca="1">IF(AND($D22="Serviço",CD$12&lt;&gt;0,$H22&gt;0,OR(AUTOEVENTO&lt;&gt;"manual",$M22&lt;&gt;1)),ROUND(OFFSET($P22,0,CD$13),15-13*ORÇAMENTO!$AF$7)/$H22*OFFSET(ORÇAMENTO!$X$15,ROW(CD22)-ROW(CD$15),0),0)</f>
        <v>0</v>
      </c>
      <c r="CE22" s="628">
        <f ca="1">IF(AND($D22="Serviço",CE$12&lt;&gt;0,$H22&gt;0,OR(AUTOEVENTO&lt;&gt;"manual",$M22&lt;&gt;1)),ROUND(OFFSET($P22,0,CE$13),15-13*ORÇAMENTO!$AF$7)/$H22*OFFSET(ORÇAMENTO!$X$15,ROW(CE22)-ROW(CE$15),0),0)</f>
        <v>0</v>
      </c>
      <c r="CF22" s="628">
        <f ca="1">IF(AND($D22="Serviço",CF$12&lt;&gt;0,$H22&gt;0,OR(AUTOEVENTO&lt;&gt;"manual",$M22&lt;&gt;1)),ROUND(OFFSET($P22,0,CF$13),15-13*ORÇAMENTO!$AF$7)/$H22*OFFSET(ORÇAMENTO!$X$15,ROW(CF22)-ROW(CF$15),0),0)</f>
        <v>0</v>
      </c>
      <c r="CG22" s="629">
        <f ca="1">IF(AND($D22="Serviço",CG$12&lt;&gt;0,$H22&gt;0,OR(AUTOEVENTO&lt;&gt;"manual",$M22&lt;&gt;1)),ROUND(OFFSET($P22,0,CG$13),15-13*ORÇAMENTO!$AF$7)/$H22*OFFSET(ORÇAMENTO!$X$15,ROW(CG22)-ROW(CG$15),0),0)</f>
        <v>0</v>
      </c>
      <c r="CH22" s="628">
        <f ca="1">IF(AND($D22="Serviço",CH$12&lt;&gt;0,$H22&gt;0,OR(AUTOEVENTO&lt;&gt;"manual",$M22&lt;&gt;1)),ROUND(OFFSET($P22,0,CH$13),15-13*ORÇAMENTO!$AF$7)/$H22*OFFSET(ORÇAMENTO!$X$15,ROW(CH22)-ROW(CH$15),0),0)</f>
        <v>0</v>
      </c>
      <c r="CI22" s="628">
        <f ca="1">IF(AND($D22="Serviço",CI$12&lt;&gt;0,$H22&gt;0,OR(AUTOEVENTO&lt;&gt;"manual",$M22&lt;&gt;1)),ROUND(OFFSET($P22,0,CI$13),15-13*ORÇAMENTO!$AF$7)/$H22*OFFSET(ORÇAMENTO!$X$15,ROW(CI22)-ROW(CI$15),0),0)</f>
        <v>0</v>
      </c>
      <c r="CJ22" s="628">
        <f ca="1">IF(AND($D22="Serviço",CJ$12&lt;&gt;0,$H22&gt;0,OR(AUTOEVENTO&lt;&gt;"manual",$M22&lt;&gt;1)),ROUND(OFFSET($P22,0,CJ$13),15-13*ORÇAMENTO!$AF$7)/$H22*OFFSET(ORÇAMENTO!$X$15,ROW(CJ22)-ROW(CJ$15),0),0)</f>
        <v>0</v>
      </c>
      <c r="CK22" s="628">
        <f ca="1">IF(AND($D22="Serviço",CK$12&lt;&gt;0,$H22&gt;0,OR(AUTOEVENTO&lt;&gt;"manual",$M22&lt;&gt;1)),ROUND(OFFSET($P22,0,CK$13),15-13*ORÇAMENTO!$AF$7)/$H22*OFFSET(ORÇAMENTO!$X$15,ROW(CK22)-ROW(CK$15),0),0)</f>
        <v>0</v>
      </c>
      <c r="CL22" s="628">
        <f ca="1">IF(AND($D22="Serviço",CL$12&lt;&gt;0,$H22&gt;0,OR(AUTOEVENTO&lt;&gt;"manual",$M22&lt;&gt;1)),ROUND(OFFSET($P22,0,CL$13),15-13*ORÇAMENTO!$AF$7)/$H22*OFFSET(ORÇAMENTO!$X$15,ROW(CL22)-ROW(CL$15),0),0)</f>
        <v>0</v>
      </c>
      <c r="CM22" s="628">
        <f ca="1">IF(AND($D22="Serviço",CM$12&lt;&gt;0,$H22&gt;0,OR(AUTOEVENTO&lt;&gt;"manual",$M22&lt;&gt;1)),ROUND(OFFSET($P22,0,CM$13),15-13*ORÇAMENTO!$AF$7)/$H22*OFFSET(ORÇAMENTO!$X$15,ROW(CM22)-ROW(CM$15),0),0)</f>
        <v>0</v>
      </c>
      <c r="CN22" s="628">
        <f ca="1">IF(AND($D22="Serviço",CN$12&lt;&gt;0,$H22&gt;0,OR(AUTOEVENTO&lt;&gt;"manual",$M22&lt;&gt;1)),ROUND(OFFSET($P22,0,CN$13),15-13*ORÇAMENTO!$AF$7)/$H22*OFFSET(ORÇAMENTO!$X$15,ROW(CN22)-ROW(CN$15),0),0)</f>
        <v>0</v>
      </c>
      <c r="CO22" s="629">
        <f ca="1">IF(AND($D22="Serviço",CO$12&lt;&gt;0,$H22&gt;0,OR(AUTOEVENTO&lt;&gt;"manual",$M22&lt;&gt;1)),ROUND(OFFSET($P22,0,CO$13),15-13*ORÇAMENTO!$AF$7)/$H22*OFFSET(ORÇAMENTO!$X$15,ROW(CO22)-ROW(CO$15),0),0)</f>
        <v>0</v>
      </c>
      <c r="CP22" s="628">
        <f ca="1">IF(AND($D22="Serviço",CP$12&lt;&gt;0,$H22&gt;0,OR(AUTOEVENTO&lt;&gt;"manual",$M22&lt;&gt;1)),ROUND(OFFSET($P22,0,CP$13),15-13*ORÇAMENTO!$AF$7)/$H22*OFFSET(ORÇAMENTO!$X$15,ROW(CP22)-ROW(CP$15),0),0)</f>
        <v>0</v>
      </c>
      <c r="CQ22" s="628">
        <f ca="1">IF(AND($D22="Serviço",CQ$12&lt;&gt;0,$H22&gt;0,OR(AUTOEVENTO&lt;&gt;"manual",$M22&lt;&gt;1)),ROUND(OFFSET($P22,0,CQ$13),15-13*ORÇAMENTO!$AF$7)/$H22*OFFSET(ORÇAMENTO!$X$15,ROW(CQ22)-ROW(CQ$15),0),0)</f>
        <v>0</v>
      </c>
      <c r="CR22" s="628">
        <f ca="1">IF(AND($D22="Serviço",CR$12&lt;&gt;0,$H22&gt;0,OR(AUTOEVENTO&lt;&gt;"manual",$M22&lt;&gt;1)),ROUND(OFFSET($P22,0,CR$13),15-13*ORÇAMENTO!$AF$7)/$H22*OFFSET(ORÇAMENTO!$X$15,ROW(CR22)-ROW(CR$15),0),0)</f>
        <v>0</v>
      </c>
      <c r="CS22" s="628">
        <f ca="1">IF(AND($D22="Serviço",CS$12&lt;&gt;0,$H22&gt;0,OR(AUTOEVENTO&lt;&gt;"manual",$M22&lt;&gt;1)),ROUND(OFFSET($P22,0,CS$13),15-13*ORÇAMENTO!$AF$7)/$H22*OFFSET(ORÇAMENTO!$X$15,ROW(CS22)-ROW(CS$15),0),0)</f>
        <v>0</v>
      </c>
      <c r="CT22" s="628">
        <f ca="1">IF(AND($D22="Serviço",CT$12&lt;&gt;0,$H22&gt;0,OR(AUTOEVENTO&lt;&gt;"manual",$M22&lt;&gt;1)),ROUND(OFFSET($P22,0,CT$13),15-13*ORÇAMENTO!$AF$7)/$H22*OFFSET(ORÇAMENTO!$X$15,ROW(CT22)-ROW(CT$15),0),0)</f>
        <v>0</v>
      </c>
      <c r="CU22" s="628">
        <f ca="1">IF(AND($D22="Serviço",CU$12&lt;&gt;0,$H22&gt;0,OR(AUTOEVENTO&lt;&gt;"manual",$M22&lt;&gt;1)),ROUND(OFFSET($P22,0,CU$13),15-13*ORÇAMENTO!$AF$7)/$H22*OFFSET(ORÇAMENTO!$X$15,ROW(CU22)-ROW(CU$15),0),0)</f>
        <v>0</v>
      </c>
      <c r="CV22" s="628">
        <f ca="1">IF(AND($D22="Serviço",CV$12&lt;&gt;0,$H22&gt;0,OR(AUTOEVENTO&lt;&gt;"manual",$M22&lt;&gt;1)),ROUND(OFFSET($P22,0,CV$13),15-13*ORÇAMENTO!$AF$7)/$H22*OFFSET(ORÇAMENTO!$X$15,ROW(CV22)-ROW(CV$15),0),0)</f>
        <v>0</v>
      </c>
      <c r="CW22" s="629">
        <f ca="1">IF(AND($D22="Serviço",CW$12&lt;&gt;0,$H22&gt;0,OR(AUTOEVENTO&lt;&gt;"manual",$M22&lt;&gt;1)),ROUND(OFFSET($P22,0,CW$13),15-13*ORÇAMENTO!$AF$7)/$H22*OFFSET(ORÇAMENTO!$X$15,ROW(CW22)-ROW(CW$15),0),0)</f>
        <v>0</v>
      </c>
      <c r="CX22" s="628">
        <f ca="1">IF(AND($D22="Serviço",CX$12&lt;&gt;0,$H22&gt;0,OR(AUTOEVENTO&lt;&gt;"manual",$M22&lt;&gt;1)),ROUND(OFFSET($P22,0,CX$13),15-13*ORÇAMENTO!$AF$7)/$H22*OFFSET(ORÇAMENTO!$X$15,ROW(CX22)-ROW(CX$15),0),0)</f>
        <v>0</v>
      </c>
      <c r="CY22" s="628">
        <f ca="1">IF(AND($D22="Serviço",CY$12&lt;&gt;0,$H22&gt;0,OR(AUTOEVENTO&lt;&gt;"manual",$M22&lt;&gt;1)),ROUND(OFFSET($P22,0,CY$13),15-13*ORÇAMENTO!$AF$7)/$H22*OFFSET(ORÇAMENTO!$X$15,ROW(CY22)-ROW(CY$15),0),0)</f>
        <v>0</v>
      </c>
      <c r="CZ22" s="628">
        <f ca="1">IF(AND($D22="Serviço",CZ$12&lt;&gt;0,$H22&gt;0,OR(AUTOEVENTO&lt;&gt;"manual",$M22&lt;&gt;1)),ROUND(OFFSET($P22,0,CZ$13),15-13*ORÇAMENTO!$AF$7)/$H22*OFFSET(ORÇAMENTO!$X$15,ROW(CZ22)-ROW(CZ$15),0),0)</f>
        <v>0</v>
      </c>
      <c r="DA22" s="628">
        <f ca="1">IF(AND($D22="Serviço",DA$12&lt;&gt;0,$H22&gt;0,OR(AUTOEVENTO&lt;&gt;"manual",$M22&lt;&gt;1)),ROUND(OFFSET($P22,0,DA$13),15-13*ORÇAMENTO!$AF$7)/$H22*OFFSET(ORÇAMENTO!$X$15,ROW(DA22)-ROW(DA$15),0),0)</f>
        <v>0</v>
      </c>
      <c r="DB22" s="628">
        <f ca="1">IF(AND($D22="Serviço",DB$12&lt;&gt;0,$H22&gt;0,OR(AUTOEVENTO&lt;&gt;"manual",$M22&lt;&gt;1)),ROUND(OFFSET($P22,0,DB$13),15-13*ORÇAMENTO!$AF$7)/$H22*OFFSET(ORÇAMENTO!$X$15,ROW(DB22)-ROW(DB$15),0),0)</f>
        <v>0</v>
      </c>
      <c r="DC22" s="628">
        <f ca="1">IF(AND($D22="Serviço",DC$12&lt;&gt;0,$H22&gt;0,OR(AUTOEVENTO&lt;&gt;"manual",$M22&lt;&gt;1)),ROUND(OFFSET($P22,0,DC$13),15-13*ORÇAMENTO!$AF$7)/$H22*OFFSET(ORÇAMENTO!$X$15,ROW(DC22)-ROW(DC$15),0),0)</f>
        <v>0</v>
      </c>
      <c r="DD22" s="628">
        <f ca="1">IF(AND($D22="Serviço",DD$12&lt;&gt;0,$H22&gt;0,OR(AUTOEVENTO&lt;&gt;"manual",$M22&lt;&gt;1)),ROUND(OFFSET($P22,0,DD$13),15-13*ORÇAMENTO!$AF$7)/$H22*OFFSET(ORÇAMENTO!$X$15,ROW(DD22)-ROW(DD$15),0),0)</f>
        <v>0</v>
      </c>
      <c r="DE22" s="629">
        <f ca="1">IF(AND($D22="Serviço",DE$12&lt;&gt;0,$H22&gt;0,OR(AUTOEVENTO&lt;&gt;"manual",$M22&lt;&gt;1)),ROUND(OFFSET($P22,0,DE$13),15-13*ORÇAMENTO!$AF$7)/$H22*OFFSET(ORÇAMENTO!$X$15,ROW(DE22)-ROW(DE$15),0),0)</f>
        <v>0</v>
      </c>
      <c r="DF22" s="628">
        <f ca="1">IF(AND($D22="Serviço",DF$12&lt;&gt;0,$H22&gt;0,OR(AUTOEVENTO&lt;&gt;"manual",$M22&lt;&gt;1)),ROUND(OFFSET($P22,0,DF$13),15-13*ORÇAMENTO!$AF$7)/$H22*OFFSET(ORÇAMENTO!$X$15,ROW(DF22)-ROW(DF$15),0),0)</f>
        <v>0</v>
      </c>
      <c r="DG22" s="628">
        <f ca="1">IF(AND($D22="Serviço",DG$12&lt;&gt;0,$H22&gt;0,OR(AUTOEVENTO&lt;&gt;"manual",$M22&lt;&gt;1)),ROUND(OFFSET($P22,0,DG$13),15-13*ORÇAMENTO!$AF$7)/$H22*OFFSET(ORÇAMENTO!$X$15,ROW(DG22)-ROW(DG$15),0),0)</f>
        <v>0</v>
      </c>
      <c r="DH22" s="628">
        <f ca="1">IF(AND($D22="Serviço",DH$12&lt;&gt;0,$H22&gt;0,OR(AUTOEVENTO&lt;&gt;"manual",$M22&lt;&gt;1)),ROUND(OFFSET($P22,0,DH$13),15-13*ORÇAMENTO!$AF$7)/$H22*OFFSET(ORÇAMENTO!$X$15,ROW(DH22)-ROW(DH$15),0),0)</f>
        <v>0</v>
      </c>
      <c r="DI22" s="628">
        <f ca="1">IF(AND($D22="Serviço",DI$12&lt;&gt;0,$H22&gt;0,OR(AUTOEVENTO&lt;&gt;"manual",$M22&lt;&gt;1)),ROUND(OFFSET($P22,0,DI$13),15-13*ORÇAMENTO!$AF$7)/$H22*OFFSET(ORÇAMENTO!$X$15,ROW(DI22)-ROW(DI$15),0),0)</f>
        <v>0</v>
      </c>
      <c r="DJ22" s="628">
        <f ca="1">IF(AND($D22="Serviço",DJ$12&lt;&gt;0,$H22&gt;0,OR(AUTOEVENTO&lt;&gt;"manual",$M22&lt;&gt;1)),ROUND(OFFSET($P22,0,DJ$13),15-13*ORÇAMENTO!$AF$7)/$H22*OFFSET(ORÇAMENTO!$X$15,ROW(DJ22)-ROW(DJ$15),0),0)</f>
        <v>0</v>
      </c>
      <c r="DK22" s="628">
        <f ca="1">IF(AND($D22="Serviço",DK$12&lt;&gt;0,$H22&gt;0,OR(AUTOEVENTO&lt;&gt;"manual",$M22&lt;&gt;1)),ROUND(OFFSET($P22,0,DK$13),15-13*ORÇAMENTO!$AF$7)/$H22*OFFSET(ORÇAMENTO!$X$15,ROW(DK22)-ROW(DK$15),0),0)</f>
        <v>0</v>
      </c>
      <c r="DL22" s="628">
        <f ca="1">IF(AND($D22="Serviço",DL$12&lt;&gt;0,$H22&gt;0,OR(AUTOEVENTO&lt;&gt;"manual",$M22&lt;&gt;1)),ROUND(OFFSET($P22,0,DL$13),15-13*ORÇAMENTO!$AF$7)/$H22*OFFSET(ORÇAMENTO!$X$15,ROW(DL22)-ROW(DL$15),0),0)</f>
        <v>0</v>
      </c>
      <c r="DM22" s="629">
        <f ca="1">IF(AND($D22="Serviço",DM$12&lt;&gt;0,$H22&gt;0,OR(AUTOEVENTO&lt;&gt;"manual",$M22&lt;&gt;1)),ROUND(OFFSET($P22,0,DM$13),15-13*ORÇAMENTO!$AF$7)/$H22*OFFSET(ORÇAMENTO!$X$15,ROW(DM22)-ROW(DM$15),0),0)</f>
        <v>0</v>
      </c>
      <c r="DO22" s="211">
        <f ca="1">IF($D22&lt;&gt;"Serviço",0,IF(AND(AUTOEVENTO="Manual",$M22=1),0,IF(OFFSET(CRONOPLE!$F$14,$M22,DO$13)="",10^12,OFFSET(CRONOPLE!$F$14,$M22,DO$13))))</f>
        <v>0</v>
      </c>
      <c r="DP22" s="211">
        <f ca="1">IF($D22&lt;&gt;"Serviço",0,IF(AND(AUTOEVENTO="Manual",$M22=1),0,IF(OFFSET(CRONOPLE!$F$14,$M22,DP$13)="",10^12,OFFSET(CRONOPLE!$F$14,$M22,DP$13))))</f>
        <v>0</v>
      </c>
      <c r="DQ22" s="211">
        <f ca="1">IF($D22&lt;&gt;"Serviço",0,IF(AND(AUTOEVENTO="Manual",$M22=1),0,IF(OFFSET(CRONOPLE!$F$14,$M22,DQ$13)="",10^12,OFFSET(CRONOPLE!$F$14,$M22,DQ$13))))</f>
        <v>0</v>
      </c>
      <c r="DR22" s="211">
        <f ca="1">IF($D22&lt;&gt;"Serviço",0,IF(AND(AUTOEVENTO="Manual",$M22=1),0,IF(OFFSET(CRONOPLE!$F$14,$M22,DR$13)="",10^12,OFFSET(CRONOPLE!$F$14,$M22,DR$13))))</f>
        <v>0</v>
      </c>
      <c r="DS22" s="211">
        <f ca="1">IF($D22&lt;&gt;"Serviço",0,IF(AND(AUTOEVENTO="Manual",$M22=1),0,IF(OFFSET(CRONOPLE!$F$14,$M22,DS$13)="",10^12,OFFSET(CRONOPLE!$F$14,$M22,DS$13))))</f>
        <v>0</v>
      </c>
      <c r="DT22" s="211">
        <f ca="1">IF($D22&lt;&gt;"Serviço",0,IF(AND(AUTOEVENTO="Manual",$M22=1),0,IF(OFFSET(CRONOPLE!$F$14,$M22,DT$13)="",10^12,OFFSET(CRONOPLE!$F$14,$M22,DT$13))))</f>
        <v>0</v>
      </c>
      <c r="DU22" s="211">
        <f ca="1">IF($D22&lt;&gt;"Serviço",0,IF(AND(AUTOEVENTO="Manual",$M22=1),0,IF(OFFSET(CRONOPLE!$F$14,$M22,DU$13)="",10^12,OFFSET(CRONOPLE!$F$14,$M22,DU$13))))</f>
        <v>0</v>
      </c>
      <c r="DV22" s="211">
        <f ca="1">IF($D22&lt;&gt;"Serviço",0,IF(AND(AUTOEVENTO="Manual",$M22=1),0,IF(OFFSET(CRONOPLE!$F$14,$M22,DV$13)="",10^12,OFFSET(CRONOPLE!$F$14,$M22,DV$13))))</f>
        <v>0</v>
      </c>
      <c r="DW22" s="211">
        <f ca="1">IF($D22&lt;&gt;"Serviço",0,IF(AND(AUTOEVENTO="Manual",$M22=1),0,IF(OFFSET(CRONOPLE!$F$14,$M22,DW$13)="",10^12,OFFSET(CRONOPLE!$F$14,$M22,DW$13))))</f>
        <v>0</v>
      </c>
      <c r="DX22" s="211">
        <f ca="1">IF($D22&lt;&gt;"Serviço",0,IF(AND(AUTOEVENTO="Manual",$M22=1),0,IF(OFFSET(CRONOPLE!$F$14,$M22,DX$13)="",10^12,OFFSET(CRONOPLE!$F$14,$M22,DX$13))))</f>
        <v>0</v>
      </c>
      <c r="DY22" s="211">
        <f ca="1">IF($D22&lt;&gt;"Serviço",0,IF(AND(AUTOEVENTO="Manual",$M22=1),0,IF(OFFSET(CRONOPLE!$F$14,$M22,DY$13)="",10^12,OFFSET(CRONOPLE!$F$14,$M22,DY$13))))</f>
        <v>0</v>
      </c>
      <c r="DZ22" s="211">
        <f ca="1">IF($D22&lt;&gt;"Serviço",0,IF(AND(AUTOEVENTO="Manual",$M22=1),0,IF(OFFSET(CRONOPLE!$F$14,$M22,DZ$13)="",10^12,OFFSET(CRONOPLE!$F$14,$M22,DZ$13))))</f>
        <v>0</v>
      </c>
      <c r="EA22" s="211">
        <f ca="1">IF($D22&lt;&gt;"Serviço",0,IF(AND(AUTOEVENTO="Manual",$M22=1),0,IF(OFFSET(CRONOPLE!$F$14,$M22,EA$13)="",10^12,OFFSET(CRONOPLE!$F$14,$M22,EA$13))))</f>
        <v>0</v>
      </c>
      <c r="EB22" s="211">
        <f ca="1">IF($D22&lt;&gt;"Serviço",0,IF(AND(AUTOEVENTO="Manual",$M22=1),0,IF(OFFSET(CRONOPLE!$F$14,$M22,EB$13)="",10^12,OFFSET(CRONOPLE!$F$14,$M22,EB$13))))</f>
        <v>0</v>
      </c>
      <c r="EC22" s="211">
        <f ca="1">IF($D22&lt;&gt;"Serviço",0,IF(AND(AUTOEVENTO="Manual",$M22=1),0,IF(OFFSET(CRONOPLE!$F$14,$M22,EC$13)="",10^12,OFFSET(CRONOPLE!$F$14,$M22,EC$13))))</f>
        <v>0</v>
      </c>
      <c r="ED22" s="211">
        <f ca="1">IF($D22&lt;&gt;"Serviço",0,IF(AND(AUTOEVENTO="Manual",$M22=1),0,IF(OFFSET(CRONOPLE!$F$14,$M22,ED$13)="",10^12,OFFSET(CRONOPLE!$F$14,$M22,ED$13))))</f>
        <v>0</v>
      </c>
      <c r="EE22" s="211">
        <f ca="1">IF($D22&lt;&gt;"Serviço",0,IF(AND(AUTOEVENTO="Manual",$M22=1),0,IF(OFFSET(CRONOPLE!$F$14,$M22,EE$13)="",10^12,OFFSET(CRONOPLE!$F$14,$M22,EE$13))))</f>
        <v>0</v>
      </c>
      <c r="EF22" s="211">
        <f ca="1">IF($D22&lt;&gt;"Serviço",0,IF(AND(AUTOEVENTO="Manual",$M22=1),0,IF(OFFSET(CRONOPLE!$F$14,$M22,EF$13)="",10^12,OFFSET(CRONOPLE!$F$14,$M22,EF$13))))</f>
        <v>0</v>
      </c>
      <c r="EG22" s="211">
        <f ca="1">IF($D22&lt;&gt;"Serviço",0,IF(AND(AUTOEVENTO="Manual",$M22=1),0,IF(OFFSET(CRONOPLE!$F$14,$M22,EG$13)="",10^12,OFFSET(CRONOPLE!$F$14,$M22,EG$13))))</f>
        <v>0</v>
      </c>
      <c r="EH22" s="211">
        <f ca="1">IF($D22&lt;&gt;"Serviço",0,IF(AND(AUTOEVENTO="Manual",$M22=1),0,IF(OFFSET(CRONOPLE!$F$14,$M22,EH$13)="",10^12,OFFSET(CRONOPLE!$F$14,$M22,EH$13))))</f>
        <v>0</v>
      </c>
      <c r="EI22" s="211">
        <f ca="1">IF($D22&lt;&gt;"Serviço",0,IF(AND(AUTOEVENTO="Manual",$M22=1),0,IF(OFFSET(CRONOPLE!$F$14,$M22,EI$13)="",10^12,OFFSET(CRONOPLE!$F$14,$M22,EI$13))))</f>
        <v>0</v>
      </c>
      <c r="EJ22" s="211">
        <f ca="1">IF($D22&lt;&gt;"Serviço",0,IF(AND(AUTOEVENTO="Manual",$M22=1),0,IF(OFFSET(CRONOPLE!$F$14,$M22,EJ$13)="",10^12,OFFSET(CRONOPLE!$F$14,$M22,EJ$13))))</f>
        <v>0</v>
      </c>
      <c r="EK22" s="211">
        <f ca="1">IF($D22&lt;&gt;"Serviço",0,IF(AND(AUTOEVENTO="Manual",$M22=1),0,IF(OFFSET(CRONOPLE!$F$14,$M22,EK$13)="",10^12,OFFSET(CRONOPLE!$F$14,$M22,EK$13))))</f>
        <v>0</v>
      </c>
      <c r="EL22" s="211">
        <f ca="1">IF($D22&lt;&gt;"Serviço",0,IF(AND(AUTOEVENTO="Manual",$M22=1),0,IF(OFFSET(CRONOPLE!$F$14,$M22,EL$13)="",10^12,OFFSET(CRONOPLE!$F$14,$M22,EL$13))))</f>
        <v>0</v>
      </c>
      <c r="EM22" s="211">
        <f ca="1">IF($D22&lt;&gt;"Serviço",0,IF(AND(AUTOEVENTO="Manual",$M22=1),0,IF(OFFSET(CRONOPLE!$F$14,$M22,EM$13)="",10^12,OFFSET(CRONOPLE!$F$14,$M22,EM$13))))</f>
        <v>0</v>
      </c>
      <c r="EN22" s="211">
        <f ca="1">IF($D22&lt;&gt;"Serviço",0,IF(AND(AUTOEVENTO="Manual",$M22=1),0,IF(OFFSET(CRONOPLE!$F$14,$M22,EN$13)="",10^12,OFFSET(CRONOPLE!$F$14,$M22,EN$13))))</f>
        <v>0</v>
      </c>
      <c r="EO22" s="211">
        <f ca="1">IF($D22&lt;&gt;"Serviço",0,IF(AND(AUTOEVENTO="Manual",$M22=1),0,IF(OFFSET(CRONOPLE!$F$14,$M22,EO$13)="",10^12,OFFSET(CRONOPLE!$F$14,$M22,EO$13))))</f>
        <v>0</v>
      </c>
      <c r="EP22" s="211">
        <f ca="1">IF($D22&lt;&gt;"Serviço",0,IF(AND(AUTOEVENTO="Manual",$M22=1),0,IF(OFFSET(CRONOPLE!$F$14,$M22,EP$13)="",10^12,OFFSET(CRONOPLE!$F$14,$M22,EP$13))))</f>
        <v>0</v>
      </c>
      <c r="EQ22" s="211">
        <f ca="1">IF($D22&lt;&gt;"Serviço",0,IF(AND(AUTOEVENTO="Manual",$M22=1),0,IF(OFFSET(CRONOPLE!$F$14,$M22,EQ$13)="",10^12,OFFSET(CRONOPLE!$F$14,$M22,EQ$13))))</f>
        <v>0</v>
      </c>
      <c r="ER22" s="211">
        <f ca="1">IF($D22&lt;&gt;"Serviço",0,IF(AND(AUTOEVENTO="Manual",$M22=1),0,IF(OFFSET(CRONOPLE!$F$14,$M22,ER$13)="",10^12,OFFSET(CRONOPLE!$F$14,$M22,ER$13))))</f>
        <v>0</v>
      </c>
      <c r="ES22" s="211">
        <f ca="1">IF($D22&lt;&gt;"Serviço",0,IF(AND(AUTOEVENTO="Manual",$M22=1),0,IF(OFFSET(CRONOPLE!$F$14,$M22,ES$13)="",10^12,OFFSET(CRONOPLE!$F$14,$M22,ES$13))))</f>
        <v>0</v>
      </c>
      <c r="ET22" s="211">
        <f ca="1">IF($D22&lt;&gt;"Serviço",0,IF(AND(AUTOEVENTO="Manual",$M22=1),0,IF(OFFSET(CRONOPLE!$F$14,$M22,ET$13)="",10^12,OFFSET(CRONOPLE!$F$14,$M22,ET$13))))</f>
        <v>0</v>
      </c>
      <c r="EU22" s="211">
        <f ca="1">IF($D22&lt;&gt;"Serviço",0,IF(AND(AUTOEVENTO="Manual",$M22=1),0,IF(OFFSET(CRONOPLE!$F$14,$M22,EU$13)="",10^12,OFFSET(CRONOPLE!$F$14,$M22,EU$13))))</f>
        <v>0</v>
      </c>
      <c r="EV22" s="211">
        <f ca="1">IF($D22&lt;&gt;"Serviço",0,IF(AND(AUTOEVENTO="Manual",$M22=1),0,IF(OFFSET(CRONOPLE!$F$14,$M22,EV$13)="",10^12,OFFSET(CRONOPLE!$F$14,$M22,EV$13))))</f>
        <v>0</v>
      </c>
      <c r="EW22" s="211">
        <f ca="1">IF($D22&lt;&gt;"Serviço",0,IF(AND(AUTOEVENTO="Manual",$M22=1),0,IF(OFFSET(CRONOPLE!$F$14,$M22,EW$13)="",10^12,OFFSET(CRONOPLE!$F$14,$M22,EW$13))))</f>
        <v>0</v>
      </c>
      <c r="EX22" s="211">
        <f ca="1">IF($D22&lt;&gt;"Serviço",0,IF(AND(AUTOEVENTO="Manual",$M22=1),0,IF(OFFSET(CRONOPLE!$F$14,$M22,EX$13)="",10^12,OFFSET(CRONOPLE!$F$14,$M22,EX$13))))</f>
        <v>0</v>
      </c>
      <c r="EY22" s="211">
        <f ca="1">IF($D22&lt;&gt;"Serviço",0,IF(AND(AUTOEVENTO="Manual",$M22=1),0,IF(OFFSET(CRONOPLE!$F$14,$M22,EY$13)="",10^12,OFFSET(CRONOPLE!$F$14,$M22,EY$13))))</f>
        <v>0</v>
      </c>
      <c r="EZ22" s="211">
        <f ca="1">IF($D22&lt;&gt;"Serviço",0,IF(AND(AUTOEVENTO="Manual",$M22=1),0,IF(OFFSET(CRONOPLE!$F$14,$M22,EZ$13)="",10^12,OFFSET(CRONOPLE!$F$14,$M22,EZ$13))))</f>
        <v>0</v>
      </c>
      <c r="FA22" s="211">
        <f ca="1">IF($D22&lt;&gt;"Serviço",0,IF(AND(AUTOEVENTO="Manual",$M22=1),0,IF(OFFSET(CRONOPLE!$F$14,$M22,FA$13)="",10^12,OFFSET(CRONOPLE!$F$14,$M22,FA$13))))</f>
        <v>0</v>
      </c>
      <c r="FB22" s="211">
        <f ca="1">IF($D22&lt;&gt;"Serviço",0,IF(AND(AUTOEVENTO="Manual",$M22=1),0,IF(OFFSET(CRONOPLE!$F$14,$M22,FB$13)="",10^12,OFFSET(CRONOPLE!$F$14,$M22,FB$13))))</f>
        <v>0</v>
      </c>
      <c r="FC22" s="211">
        <f ca="1">IF($D22&lt;&gt;"Serviço",0,IF(AND(AUTOEVENTO="Manual",$M22=1),0,IF(OFFSET(CRONOPLE!$F$14,$M22,FC$13)="",10^12,OFFSET(CRONOPLE!$F$14,$M22,FC$13))))</f>
        <v>0</v>
      </c>
      <c r="FD22" s="211">
        <f ca="1">IF($D22&lt;&gt;"Serviço",0,IF(AND(AUTOEVENTO="Manual",$M22=1),0,IF(OFFSET(CRONOPLE!$F$14,$M22,FD$13)="",10^12,OFFSET(CRONOPLE!$F$14,$M22,FD$13))))</f>
        <v>0</v>
      </c>
      <c r="FE22" s="211">
        <f ca="1">IF($D22&lt;&gt;"Serviço",0,IF(AND(AUTOEVENTO="Manual",$M22=1),0,IF(OFFSET(CRONOPLE!$F$14,$M22,FE$13)="",10^12,OFFSET(CRONOPLE!$F$14,$M22,FE$13))))</f>
        <v>0</v>
      </c>
      <c r="FF22" s="211">
        <f ca="1">IF($D22&lt;&gt;"Serviço",0,IF(AND(AUTOEVENTO="Manual",$M22=1),0,IF(OFFSET(CRONOPLE!$F$14,$M22,FF$13)="",10^12,OFFSET(CRONOPLE!$F$14,$M22,FF$13))))</f>
        <v>0</v>
      </c>
      <c r="FG22" s="211">
        <f ca="1">IF($D22&lt;&gt;"Serviço",0,IF(AND(AUTOEVENTO="Manual",$M22=1),0,IF(OFFSET(CRONOPLE!$F$14,$M22,FG$13)="",10^12,OFFSET(CRONOPLE!$F$14,$M22,FG$13))))</f>
        <v>0</v>
      </c>
      <c r="FH22" s="211">
        <f ca="1">IF($D22&lt;&gt;"Serviço",0,IF(AND(AUTOEVENTO="Manual",$M22=1),0,IF(OFFSET(CRONOPLE!$F$14,$M22,FH$13)="",10^12,OFFSET(CRONOPLE!$F$14,$M22,FH$13))))</f>
        <v>0</v>
      </c>
      <c r="FI22" s="211">
        <f ca="1">IF($D22&lt;&gt;"Serviço",0,IF(AND(AUTOEVENTO="Manual",$M22=1),0,IF(OFFSET(CRONOPLE!$F$14,$M22,FI$13)="",10^12,OFFSET(CRONOPLE!$F$14,$M22,FI$13))))</f>
        <v>0</v>
      </c>
      <c r="FJ22" s="211">
        <f ca="1">IF($D22&lt;&gt;"Serviço",0,IF(AND(AUTOEVENTO="Manual",$M22=1),0,IF(OFFSET(CRONOPLE!$F$14,$M22,FJ$13)="",10^12,OFFSET(CRONOPLE!$F$14,$M22,FJ$13))))</f>
        <v>0</v>
      </c>
      <c r="FK22" s="211">
        <f ca="1">IF($D22&lt;&gt;"Serviço",0,IF(AND(AUTOEVENTO="Manual",$M22=1),0,IF(OFFSET(CRONOPLE!$F$14,$M22,FK$13)="",10^12,OFFSET(CRONOPLE!$F$14,$M22,FK$13))))</f>
        <v>0</v>
      </c>
      <c r="FL22" s="211">
        <f ca="1">IF($D22&lt;&gt;"Serviço",0,IF(AND(AUTOEVENTO="Manual",$M22=1),0,IF(OFFSET(CRONOPLE!$F$14,$M22,FL$13)="",10^12,OFFSET(CRONOPLE!$F$14,$M22,FL$13))))</f>
        <v>0</v>
      </c>
      <c r="FN22" s="212">
        <f ca="1">IF($D22&lt;&gt;"Serviço",0,IF(OR(AND(AUTOEVENTO="Manual",$M22=1),$M22&gt;(ROW(PLE.lastrow)-ROW(PLE.firstrow))),0,IF(OFFSET(PLE!$G$14,$M22,FN$13)="",10^12,OFFSET(PLE!$G$14,$M22,FN$13))))</f>
        <v>0</v>
      </c>
      <c r="FO22" s="212">
        <f ca="1">IF($D22&lt;&gt;"Serviço",0,IF(OR(AND(AUTOEVENTO="Manual",$M22=1),$M22&gt;(ROW(PLE.lastrow)-ROW(PLE.firstrow))),0,IF(OFFSET(PLE!$G$14,$M22,FO$13)="",10^12,OFFSET(PLE!$G$14,$M22,FO$13))))</f>
        <v>0</v>
      </c>
      <c r="FP22" s="212">
        <f ca="1">IF($D22&lt;&gt;"Serviço",0,IF(OR(AND(AUTOEVENTO="Manual",$M22=1),$M22&gt;(ROW(PLE.lastrow)-ROW(PLE.firstrow))),0,IF(OFFSET(PLE!$G$14,$M22,FP$13)="",10^12,OFFSET(PLE!$G$14,$M22,FP$13))))</f>
        <v>0</v>
      </c>
      <c r="FQ22" s="212">
        <f ca="1">IF($D22&lt;&gt;"Serviço",0,IF(OR(AND(AUTOEVENTO="Manual",$M22=1),$M22&gt;(ROW(PLE.lastrow)-ROW(PLE.firstrow))),0,IF(OFFSET(PLE!$G$14,$M22,FQ$13)="",10^12,OFFSET(PLE!$G$14,$M22,FQ$13))))</f>
        <v>0</v>
      </c>
      <c r="FR22" s="212">
        <f ca="1">IF($D22&lt;&gt;"Serviço",0,IF(OR(AND(AUTOEVENTO="Manual",$M22=1),$M22&gt;(ROW(PLE.lastrow)-ROW(PLE.firstrow))),0,IF(OFFSET(PLE!$G$14,$M22,FR$13)="",10^12,OFFSET(PLE!$G$14,$M22,FR$13))))</f>
        <v>0</v>
      </c>
      <c r="FS22" s="212">
        <f ca="1">IF($D22&lt;&gt;"Serviço",0,IF(OR(AND(AUTOEVENTO="Manual",$M22=1),$M22&gt;(ROW(PLE.lastrow)-ROW(PLE.firstrow))),0,IF(OFFSET(PLE!$G$14,$M22,FS$13)="",10^12,OFFSET(PLE!$G$14,$M22,FS$13))))</f>
        <v>0</v>
      </c>
      <c r="FT22" s="212">
        <f ca="1">IF($D22&lt;&gt;"Serviço",0,IF(OR(AND(AUTOEVENTO="Manual",$M22=1),$M22&gt;(ROW(PLE.lastrow)-ROW(PLE.firstrow))),0,IF(OFFSET(PLE!$G$14,$M22,FT$13)="",10^12,OFFSET(PLE!$G$14,$M22,FT$13))))</f>
        <v>0</v>
      </c>
      <c r="FU22" s="212">
        <f ca="1">IF($D22&lt;&gt;"Serviço",0,IF(OR(AND(AUTOEVENTO="Manual",$M22=1),$M22&gt;(ROW(PLE.lastrow)-ROW(PLE.firstrow))),0,IF(OFFSET(PLE!$G$14,$M22,FU$13)="",10^12,OFFSET(PLE!$G$14,$M22,FU$13))))</f>
        <v>0</v>
      </c>
      <c r="FV22" s="212">
        <f ca="1">IF($D22&lt;&gt;"Serviço",0,IF(OR(AND(AUTOEVENTO="Manual",$M22=1),$M22&gt;(ROW(PLE.lastrow)-ROW(PLE.firstrow))),0,IF(OFFSET(PLE!$G$14,$M22,FV$13)="",10^12,OFFSET(PLE!$G$14,$M22,FV$13))))</f>
        <v>0</v>
      </c>
      <c r="FW22" s="212">
        <f ca="1">IF($D22&lt;&gt;"Serviço",0,IF(OR(AND(AUTOEVENTO="Manual",$M22=1),$M22&gt;(ROW(PLE.lastrow)-ROW(PLE.firstrow))),0,IF(OFFSET(PLE!$G$14,$M22,FW$13)="",10^12,OFFSET(PLE!$G$14,$M22,FW$13))))</f>
        <v>0</v>
      </c>
      <c r="FX22" s="212">
        <f ca="1">IF($D22&lt;&gt;"Serviço",0,IF(OR(AND(AUTOEVENTO="Manual",$M22=1),$M22&gt;(ROW(PLE.lastrow)-ROW(PLE.firstrow))),0,IF(OFFSET(PLE!$G$14,$M22,FX$13)="",10^12,OFFSET(PLE!$G$14,$M22,FX$13))))</f>
        <v>0</v>
      </c>
      <c r="FY22" s="212">
        <f ca="1">IF($D22&lt;&gt;"Serviço",0,IF(OR(AND(AUTOEVENTO="Manual",$M22=1),$M22&gt;(ROW(PLE.lastrow)-ROW(PLE.firstrow))),0,IF(OFFSET(PLE!$G$14,$M22,FY$13)="",10^12,OFFSET(PLE!$G$14,$M22,FY$13))))</f>
        <v>0</v>
      </c>
      <c r="FZ22" s="212">
        <f ca="1">IF($D22&lt;&gt;"Serviço",0,IF(OR(AND(AUTOEVENTO="Manual",$M22=1),$M22&gt;(ROW(PLE.lastrow)-ROW(PLE.firstrow))),0,IF(OFFSET(PLE!$G$14,$M22,FZ$13)="",10^12,OFFSET(PLE!$G$14,$M22,FZ$13))))</f>
        <v>0</v>
      </c>
      <c r="GA22" s="212">
        <f ca="1">IF($D22&lt;&gt;"Serviço",0,IF(OR(AND(AUTOEVENTO="Manual",$M22=1),$M22&gt;(ROW(PLE.lastrow)-ROW(PLE.firstrow))),0,IF(OFFSET(PLE!$G$14,$M22,GA$13)="",10^12,OFFSET(PLE!$G$14,$M22,GA$13))))</f>
        <v>0</v>
      </c>
      <c r="GB22" s="212">
        <f ca="1">IF($D22&lt;&gt;"Serviço",0,IF(OR(AND(AUTOEVENTO="Manual",$M22=1),$M22&gt;(ROW(PLE.lastrow)-ROW(PLE.firstrow))),0,IF(OFFSET(PLE!$G$14,$M22,GB$13)="",10^12,OFFSET(PLE!$G$14,$M22,GB$13))))</f>
        <v>0</v>
      </c>
      <c r="GC22" s="212">
        <f ca="1">IF($D22&lt;&gt;"Serviço",0,IF(OR(AND(AUTOEVENTO="Manual",$M22=1),$M22&gt;(ROW(PLE.lastrow)-ROW(PLE.firstrow))),0,IF(OFFSET(PLE!$G$14,$M22,GC$13)="",10^12,OFFSET(PLE!$G$14,$M22,GC$13))))</f>
        <v>0</v>
      </c>
      <c r="GD22" s="212">
        <f ca="1">IF($D22&lt;&gt;"Serviço",0,IF(OR(AND(AUTOEVENTO="Manual",$M22=1),$M22&gt;(ROW(PLE.lastrow)-ROW(PLE.firstrow))),0,IF(OFFSET(PLE!$G$14,$M22,GD$13)="",10^12,OFFSET(PLE!$G$14,$M22,GD$13))))</f>
        <v>0</v>
      </c>
      <c r="GE22" s="212">
        <f ca="1">IF($D22&lt;&gt;"Serviço",0,IF(OR(AND(AUTOEVENTO="Manual",$M22=1),$M22&gt;(ROW(PLE.lastrow)-ROW(PLE.firstrow))),0,IF(OFFSET(PLE!$G$14,$M22,GE$13)="",10^12,OFFSET(PLE!$G$14,$M22,GE$13))))</f>
        <v>0</v>
      </c>
      <c r="GF22" s="212">
        <f ca="1">IF($D22&lt;&gt;"Serviço",0,IF(OR(AND(AUTOEVENTO="Manual",$M22=1),$M22&gt;(ROW(PLE.lastrow)-ROW(PLE.firstrow))),0,IF(OFFSET(PLE!$G$14,$M22,GF$13)="",10^12,OFFSET(PLE!$G$14,$M22,GF$13))))</f>
        <v>0</v>
      </c>
      <c r="GG22" s="212">
        <f ca="1">IF($D22&lt;&gt;"Serviço",0,IF(OR(AND(AUTOEVENTO="Manual",$M22=1),$M22&gt;(ROW(PLE.lastrow)-ROW(PLE.firstrow))),0,IF(OFFSET(PLE!$G$14,$M22,GG$13)="",10^12,OFFSET(PLE!$G$14,$M22,GG$13))))</f>
        <v>0</v>
      </c>
      <c r="GH22" s="212">
        <f ca="1">IF($D22&lt;&gt;"Serviço",0,IF(OR(AND(AUTOEVENTO="Manual",$M22=1),$M22&gt;(ROW(PLE.lastrow)-ROW(PLE.firstrow))),0,IF(OFFSET(PLE!$G$14,$M22,GH$13)="",10^12,OFFSET(PLE!$G$14,$M22,GH$13))))</f>
        <v>0</v>
      </c>
      <c r="GI22" s="212">
        <f ca="1">IF($D22&lt;&gt;"Serviço",0,IF(OR(AND(AUTOEVENTO="Manual",$M22=1),$M22&gt;(ROW(PLE.lastrow)-ROW(PLE.firstrow))),0,IF(OFFSET(PLE!$G$14,$M22,GI$13)="",10^12,OFFSET(PLE!$G$14,$M22,GI$13))))</f>
        <v>0</v>
      </c>
      <c r="GJ22" s="212">
        <f ca="1">IF($D22&lt;&gt;"Serviço",0,IF(OR(AND(AUTOEVENTO="Manual",$M22=1),$M22&gt;(ROW(PLE.lastrow)-ROW(PLE.firstrow))),0,IF(OFFSET(PLE!$G$14,$M22,GJ$13)="",10^12,OFFSET(PLE!$G$14,$M22,GJ$13))))</f>
        <v>0</v>
      </c>
      <c r="GK22" s="212">
        <f ca="1">IF($D22&lt;&gt;"Serviço",0,IF(OR(AND(AUTOEVENTO="Manual",$M22=1),$M22&gt;(ROW(PLE.lastrow)-ROW(PLE.firstrow))),0,IF(OFFSET(PLE!$G$14,$M22,GK$13)="",10^12,OFFSET(PLE!$G$14,$M22,GK$13))))</f>
        <v>0</v>
      </c>
      <c r="GL22" s="212">
        <f ca="1">IF($D22&lt;&gt;"Serviço",0,IF(OR(AND(AUTOEVENTO="Manual",$M22=1),$M22&gt;(ROW(PLE.lastrow)-ROW(PLE.firstrow))),0,IF(OFFSET(PLE!$G$14,$M22,GL$13)="",10^12,OFFSET(PLE!$G$14,$M22,GL$13))))</f>
        <v>0</v>
      </c>
      <c r="GM22" s="212">
        <f ca="1">IF($D22&lt;&gt;"Serviço",0,IF(OR(AND(AUTOEVENTO="Manual",$M22=1),$M22&gt;(ROW(PLE.lastrow)-ROW(PLE.firstrow))),0,IF(OFFSET(PLE!$G$14,$M22,GM$13)="",10^12,OFFSET(PLE!$G$14,$M22,GM$13))))</f>
        <v>0</v>
      </c>
      <c r="GN22" s="212">
        <f ca="1">IF($D22&lt;&gt;"Serviço",0,IF(OR(AND(AUTOEVENTO="Manual",$M22=1),$M22&gt;(ROW(PLE.lastrow)-ROW(PLE.firstrow))),0,IF(OFFSET(PLE!$G$14,$M22,GN$13)="",10^12,OFFSET(PLE!$G$14,$M22,GN$13))))</f>
        <v>0</v>
      </c>
      <c r="GO22" s="212">
        <f ca="1">IF($D22&lt;&gt;"Serviço",0,IF(OR(AND(AUTOEVENTO="Manual",$M22=1),$M22&gt;(ROW(PLE.lastrow)-ROW(PLE.firstrow))),0,IF(OFFSET(PLE!$G$14,$M22,GO$13)="",10^12,OFFSET(PLE!$G$14,$M22,GO$13))))</f>
        <v>0</v>
      </c>
      <c r="GP22" s="212">
        <f ca="1">IF($D22&lt;&gt;"Serviço",0,IF(OR(AND(AUTOEVENTO="Manual",$M22=1),$M22&gt;(ROW(PLE.lastrow)-ROW(PLE.firstrow))),0,IF(OFFSET(PLE!$G$14,$M22,GP$13)="",10^12,OFFSET(PLE!$G$14,$M22,GP$13))))</f>
        <v>0</v>
      </c>
      <c r="GQ22" s="212">
        <f ca="1">IF($D22&lt;&gt;"Serviço",0,IF(OR(AND(AUTOEVENTO="Manual",$M22=1),$M22&gt;(ROW(PLE.lastrow)-ROW(PLE.firstrow))),0,IF(OFFSET(PLE!$G$14,$M22,GQ$13)="",10^12,OFFSET(PLE!$G$14,$M22,GQ$13))))</f>
        <v>0</v>
      </c>
      <c r="GR22" s="212">
        <f ca="1">IF($D22&lt;&gt;"Serviço",0,IF(OR(AND(AUTOEVENTO="Manual",$M22=1),$M22&gt;(ROW(PLE.lastrow)-ROW(PLE.firstrow))),0,IF(OFFSET(PLE!$G$14,$M22,GR$13)="",10^12,OFFSET(PLE!$G$14,$M22,GR$13))))</f>
        <v>0</v>
      </c>
      <c r="GS22" s="212">
        <f ca="1">IF($D22&lt;&gt;"Serviço",0,IF(OR(AND(AUTOEVENTO="Manual",$M22=1),$M22&gt;(ROW(PLE.lastrow)-ROW(PLE.firstrow))),0,IF(OFFSET(PLE!$G$14,$M22,GS$13)="",10^12,OFFSET(PLE!$G$14,$M22,GS$13))))</f>
        <v>0</v>
      </c>
      <c r="GT22" s="212">
        <f ca="1">IF($D22&lt;&gt;"Serviço",0,IF(OR(AND(AUTOEVENTO="Manual",$M22=1),$M22&gt;(ROW(PLE.lastrow)-ROW(PLE.firstrow))),0,IF(OFFSET(PLE!$G$14,$M22,GT$13)="",10^12,OFFSET(PLE!$G$14,$M22,GT$13))))</f>
        <v>0</v>
      </c>
      <c r="GU22" s="212">
        <f ca="1">IF($D22&lt;&gt;"Serviço",0,IF(OR(AND(AUTOEVENTO="Manual",$M22=1),$M22&gt;(ROW(PLE.lastrow)-ROW(PLE.firstrow))),0,IF(OFFSET(PLE!$G$14,$M22,GU$13)="",10^12,OFFSET(PLE!$G$14,$M22,GU$13))))</f>
        <v>0</v>
      </c>
      <c r="GV22" s="212">
        <f ca="1">IF($D22&lt;&gt;"Serviço",0,IF(OR(AND(AUTOEVENTO="Manual",$M22=1),$M22&gt;(ROW(PLE.lastrow)-ROW(PLE.firstrow))),0,IF(OFFSET(PLE!$G$14,$M22,GV$13)="",10^12,OFFSET(PLE!$G$14,$M22,GV$13))))</f>
        <v>0</v>
      </c>
      <c r="GW22" s="212">
        <f ca="1">IF($D22&lt;&gt;"Serviço",0,IF(OR(AND(AUTOEVENTO="Manual",$M22=1),$M22&gt;(ROW(PLE.lastrow)-ROW(PLE.firstrow))),0,IF(OFFSET(PLE!$G$14,$M22,GW$13)="",10^12,OFFSET(PLE!$G$14,$M22,GW$13))))</f>
        <v>0</v>
      </c>
      <c r="GX22" s="212">
        <f ca="1">IF($D22&lt;&gt;"Serviço",0,IF(OR(AND(AUTOEVENTO="Manual",$M22=1),$M22&gt;(ROW(PLE.lastrow)-ROW(PLE.firstrow))),0,IF(OFFSET(PLE!$G$14,$M22,GX$13)="",10^12,OFFSET(PLE!$G$14,$M22,GX$13))))</f>
        <v>0</v>
      </c>
      <c r="GY22" s="212">
        <f ca="1">IF($D22&lt;&gt;"Serviço",0,IF(OR(AND(AUTOEVENTO="Manual",$M22=1),$M22&gt;(ROW(PLE.lastrow)-ROW(PLE.firstrow))),0,IF(OFFSET(PLE!$G$14,$M22,GY$13)="",10^12,OFFSET(PLE!$G$14,$M22,GY$13))))</f>
        <v>0</v>
      </c>
      <c r="GZ22" s="212">
        <f ca="1">IF($D22&lt;&gt;"Serviço",0,IF(OR(AND(AUTOEVENTO="Manual",$M22=1),$M22&gt;(ROW(PLE.lastrow)-ROW(PLE.firstrow))),0,IF(OFFSET(PLE!$G$14,$M22,GZ$13)="",10^12,OFFSET(PLE!$G$14,$M22,GZ$13))))</f>
        <v>0</v>
      </c>
      <c r="HA22" s="212">
        <f ca="1">IF($D22&lt;&gt;"Serviço",0,IF(OR(AND(AUTOEVENTO="Manual",$M22=1),$M22&gt;(ROW(PLE.lastrow)-ROW(PLE.firstrow))),0,IF(OFFSET(PLE!$G$14,$M22,HA$13)="",10^12,OFFSET(PLE!$G$14,$M22,HA$13))))</f>
        <v>0</v>
      </c>
      <c r="HB22" s="212">
        <f ca="1">IF($D22&lt;&gt;"Serviço",0,IF(OR(AND(AUTOEVENTO="Manual",$M22=1),$M22&gt;(ROW(PLE.lastrow)-ROW(PLE.firstrow))),0,IF(OFFSET(PLE!$G$14,$M22,HB$13)="",10^12,OFFSET(PLE!$G$14,$M22,HB$13))))</f>
        <v>0</v>
      </c>
      <c r="HC22" s="212">
        <f ca="1">IF($D22&lt;&gt;"Serviço",0,IF(OR(AND(AUTOEVENTO="Manual",$M22=1),$M22&gt;(ROW(PLE.lastrow)-ROW(PLE.firstrow))),0,IF(OFFSET(PLE!$G$14,$M22,HC$13)="",10^12,OFFSET(PLE!$G$14,$M22,HC$13))))</f>
        <v>0</v>
      </c>
      <c r="HD22" s="212">
        <f ca="1">IF($D22&lt;&gt;"Serviço",0,IF(OR(AND(AUTOEVENTO="Manual",$M22=1),$M22&gt;(ROW(PLE.lastrow)-ROW(PLE.firstrow))),0,IF(OFFSET(PLE!$G$14,$M22,HD$13)="",10^12,OFFSET(PLE!$G$14,$M22,HD$13))))</f>
        <v>0</v>
      </c>
      <c r="HE22" s="212">
        <f ca="1">IF($D22&lt;&gt;"Serviço",0,IF(OR(AND(AUTOEVENTO="Manual",$M22=1),$M22&gt;(ROW(PLE.lastrow)-ROW(PLE.firstrow))),0,IF(OFFSET(PLE!$G$14,$M22,HE$13)="",10^12,OFFSET(PLE!$G$14,$M22,HE$13))))</f>
        <v>0</v>
      </c>
      <c r="HF22" s="212">
        <f ca="1">IF($D22&lt;&gt;"Serviço",0,IF(OR(AND(AUTOEVENTO="Manual",$M22=1),$M22&gt;(ROW(PLE.lastrow)-ROW(PLE.firstrow))),0,IF(OFFSET(PLE!$G$14,$M22,HF$13)="",10^12,OFFSET(PLE!$G$14,$M22,HF$13))))</f>
        <v>0</v>
      </c>
      <c r="HG22" s="212">
        <f ca="1">IF($D22&lt;&gt;"Serviço",0,IF(OR(AND(AUTOEVENTO="Manual",$M22=1),$M22&gt;(ROW(PLE.lastrow)-ROW(PLE.firstrow))),0,IF(OFFSET(PLE!$G$14,$M22,HG$13)="",10^12,OFFSET(PLE!$G$14,$M22,HG$13))))</f>
        <v>0</v>
      </c>
      <c r="HH22" s="212">
        <f ca="1">IF($D22&lt;&gt;"Serviço",0,IF(OR(AND(AUTOEVENTO="Manual",$M22=1),$M22&gt;(ROW(PLE.lastrow)-ROW(PLE.firstrow))),0,IF(OFFSET(PLE!$G$14,$M22,HH$13)="",10^12,OFFSET(PLE!$G$14,$M22,HH$13))))</f>
        <v>0</v>
      </c>
      <c r="HI22" s="212">
        <f ca="1">IF($D22&lt;&gt;"Serviço",0,IF(OR(AND(AUTOEVENTO="Manual",$M22=1),$M22&gt;(ROW(PLE.lastrow)-ROW(PLE.firstrow))),0,IF(OFFSET(PLE!$G$14,$M22,HI$13)="",10^12,OFFSET(PLE!$G$14,$M22,HI$13))))</f>
        <v>0</v>
      </c>
      <c r="HJ22" s="212">
        <f ca="1">IF($D22&lt;&gt;"Serviço",0,IF(OR(AND(AUTOEVENTO="Manual",$M22=1),$M22&gt;(ROW(PLE.lastrow)-ROW(PLE.firstrow))),0,IF(OFFSET(PLE!$G$14,$M22,HJ$13)="",10^12,OFFSET(PLE!$G$14,$M22,HJ$13))))</f>
        <v>0</v>
      </c>
      <c r="HK22" s="212">
        <f ca="1">IF($D22&lt;&gt;"Serviço",0,IF(OR(AND(AUTOEVENTO="Manual",$M22=1),$M22&gt;(ROW(PLE.lastrow)-ROW(PLE.firstrow))),0,IF(OFFSET(PLE!$G$14,$M22,HK$13)="",10^12,OFFSET(PLE!$G$14,$M22,HK$13))))</f>
        <v>0</v>
      </c>
    </row>
    <row r="23" spans="1:219" ht="51" x14ac:dyDescent="0.2">
      <c r="A23" s="9" t="str">
        <f ca="1">IF(AUTOEVENTO="Manual",IF(K23&lt;&gt;"",MIN(VALUE(LEFT(K23,FIND(".",K23)-1)),COUNTA(EVENTOS.Lista)),0),IF(OR($B23&gt;AUTOEVENTO,$B23="S",$B23=0),SUBSTITUTE(OFFSET($A23,-1,0),IF($D23="Serviço",".",""),""),ROW(A23)-ROW($A$15)&amp;"."))</f>
        <v>7</v>
      </c>
      <c r="B23" s="9" t="str">
        <f ca="1">OFFSET(ORÇAMENTO!C$15,ROW(B23)-ROW(B$15),0)</f>
        <v>S</v>
      </c>
      <c r="C23" s="9" t="str">
        <f ca="1">OFFSET(ORÇAMENTO!L$15,ROW(C23)-ROW(C$15),0)</f>
        <v>F</v>
      </c>
      <c r="D23" s="141" t="str">
        <f ca="1">OFFSET(ORÇAMENTO!N$15,ROW(D23)-ROW(D$15),0)</f>
        <v>Serviço</v>
      </c>
      <c r="E23" s="201" t="str">
        <f ca="1">OFFSET(ORÇAMENTO!O$15,ROW(E23)-ROW(E$15),0)</f>
        <v>1.3.1.</v>
      </c>
      <c r="F23" s="202" t="str">
        <f ca="1">OFFSET(ORÇAMENTO!R$15,ROW(F23)-ROW(F$15),0)</f>
        <v>(abra o arquivo 'Referência 11-2023.xls)</v>
      </c>
      <c r="G23" s="203" t="str">
        <f ca="1">IF($D23&lt;&gt;"Serviço","",OFFSET(ORÇAMENTO!S$15,ROW(G23)-ROW(G$15),0))</f>
        <v>-</v>
      </c>
      <c r="H23" s="147">
        <f ca="1">IF($D23&lt;&gt;"Serviço",0,IF(ACOMPANHAMENTO="BM",ROUND(OFFSET(ORÇAMENTO!AJ$15,ROW(H23)-ROW(H$15),0),15-13*ORÇAMENTO!$AF$7),SUMPRODUCT(($Q$12:$BO$12&lt;&gt;"")*ROUND($Q23:$BO23,15-13*ORÇAMENTO!$AF$7))))</f>
        <v>3528.0200000000004</v>
      </c>
      <c r="I23" s="646" t="s">
        <v>491</v>
      </c>
      <c r="K23" s="204" t="s">
        <v>455</v>
      </c>
      <c r="L23" s="205" t="s">
        <v>257</v>
      </c>
      <c r="M23" s="206">
        <f ca="1">IF($D23&lt;&gt;"Serviço","",IF(AUTOEVENTO="manual",$A23,IF(ISERROR(MATCH($A23,$A$15:OFFSET($A23,-1,0),0)),MAX($M$15:OFFSET(M23,-1,0))+1,INDEX($M$15:OFFSET(M23,-1,0),MATCH($A23,$A$15:OFFSET($A23,-1,0),0)))))</f>
        <v>4</v>
      </c>
      <c r="N23" s="207" t="str">
        <f ca="1">IF($D23&lt;&gt;"Serviço","",IF(AUTOEVENTO="Manual",IF($A23=0,"&lt;-- defina o número do agrupador",OFFSET(EVENTOS!$D$14,$A23,0)),OFFSET($F$15,$A23,0)))</f>
        <v>PAVIMENTAÇÃO DE VIAS</v>
      </c>
      <c r="O23" s="208"/>
      <c r="Q23" s="208">
        <v>1227.6500000000001</v>
      </c>
      <c r="R23" s="209">
        <f>249.74+1508</f>
        <v>1757.74</v>
      </c>
      <c r="S23" s="209">
        <v>542.63</v>
      </c>
      <c r="T23" s="209"/>
      <c r="U23" s="209"/>
      <c r="V23" s="209"/>
      <c r="W23" s="209"/>
      <c r="X23" s="209"/>
      <c r="Y23" s="209"/>
      <c r="Z23" s="210"/>
      <c r="AA23" s="209"/>
      <c r="AB23" s="209"/>
      <c r="AC23" s="209"/>
      <c r="AD23" s="209"/>
      <c r="AE23" s="209"/>
      <c r="AF23" s="209"/>
      <c r="AG23" s="209"/>
      <c r="AH23" s="210"/>
      <c r="AI23" s="209"/>
      <c r="AJ23" s="209"/>
      <c r="AK23" s="209"/>
      <c r="AL23" s="209"/>
      <c r="AM23" s="209"/>
      <c r="AN23" s="209"/>
      <c r="AO23" s="209"/>
      <c r="AP23" s="210"/>
      <c r="AQ23" s="209"/>
      <c r="AR23" s="209"/>
      <c r="AS23" s="209"/>
      <c r="AT23" s="209"/>
      <c r="AU23" s="209"/>
      <c r="AV23" s="209"/>
      <c r="AW23" s="209"/>
      <c r="AX23" s="210"/>
      <c r="AY23" s="209"/>
      <c r="AZ23" s="209"/>
      <c r="BA23" s="209"/>
      <c r="BB23" s="209"/>
      <c r="BC23" s="209"/>
      <c r="BD23" s="209"/>
      <c r="BE23" s="209"/>
      <c r="BF23" s="210"/>
      <c r="BG23" s="209"/>
      <c r="BH23" s="209"/>
      <c r="BI23" s="209"/>
      <c r="BJ23" s="209"/>
      <c r="BK23" s="209"/>
      <c r="BL23" s="209"/>
      <c r="BM23" s="209"/>
      <c r="BN23" s="210"/>
      <c r="BP23" s="627">
        <f ca="1">IF(AND($D23="Serviço",BP$12&lt;&gt;0,$H23&gt;0,OR(AUTOEVENTO&lt;&gt;"manual",$M23&lt;&gt;1)),ROUND(OFFSET($P23,0,BP$13),15-13*ORÇAMENTO!$AF$7)/$H23*OFFSET(ORÇAMENTO!$X$15,ROW(BP23)-ROW(BP$15),0),0)</f>
        <v>115558.69359527441</v>
      </c>
      <c r="BQ23" s="628">
        <f ca="1">IF(AND($D23="Serviço",BQ$12&lt;&gt;0,$H23&gt;0,OR(AUTOEVENTO&lt;&gt;"manual",$M23&lt;&gt;1)),ROUND(OFFSET($P23,0,BQ$13),15-13*ORÇAMENTO!$AF$7)/$H23*OFFSET(ORÇAMENTO!$X$15,ROW(BQ23)-ROW(BQ$15),0),0)</f>
        <v>165456.06490462073</v>
      </c>
      <c r="BR23" s="628">
        <f ca="1">IF(AND($D23="Serviço",BR$12&lt;&gt;0,$H23&gt;0,OR(AUTOEVENTO&lt;&gt;"manual",$M23&lt;&gt;1)),ROUND(OFFSET($P23,0,BR$13),15-13*ORÇAMENTO!$AF$7)/$H23*OFFSET(ORÇAMENTO!$X$15,ROW(BR23)-ROW(BR$15),0),0)</f>
        <v>51077.761500104869</v>
      </c>
      <c r="BS23" s="628">
        <f ca="1">IF(AND($D23="Serviço",BS$12&lt;&gt;0,$H23&gt;0,OR(AUTOEVENTO&lt;&gt;"manual",$M23&lt;&gt;1)),ROUND(OFFSET($P23,0,BS$13),15-13*ORÇAMENTO!$AF$7)/$H23*OFFSET(ORÇAMENTO!$X$15,ROW(BS23)-ROW(BS$15),0),0)</f>
        <v>0</v>
      </c>
      <c r="BT23" s="628">
        <f ca="1">IF(AND($D23="Serviço",BT$12&lt;&gt;0,$H23&gt;0,OR(AUTOEVENTO&lt;&gt;"manual",$M23&lt;&gt;1)),ROUND(OFFSET($P23,0,BT$13),15-13*ORÇAMENTO!$AF$7)/$H23*OFFSET(ORÇAMENTO!$X$15,ROW(BT23)-ROW(BT$15),0),0)</f>
        <v>0</v>
      </c>
      <c r="BU23" s="628">
        <f ca="1">IF(AND($D23="Serviço",BU$12&lt;&gt;0,$H23&gt;0,OR(AUTOEVENTO&lt;&gt;"manual",$M23&lt;&gt;1)),ROUND(OFFSET($P23,0,BU$13),15-13*ORÇAMENTO!$AF$7)/$H23*OFFSET(ORÇAMENTO!$X$15,ROW(BU23)-ROW(BU$15),0),0)</f>
        <v>0</v>
      </c>
      <c r="BV23" s="628">
        <f ca="1">IF(AND($D23="Serviço",BV$12&lt;&gt;0,$H23&gt;0,OR(AUTOEVENTO&lt;&gt;"manual",$M23&lt;&gt;1)),ROUND(OFFSET($P23,0,BV$13),15-13*ORÇAMENTO!$AF$7)/$H23*OFFSET(ORÇAMENTO!$X$15,ROW(BV23)-ROW(BV$15),0),0)</f>
        <v>0</v>
      </c>
      <c r="BW23" s="628">
        <f ca="1">IF(AND($D23="Serviço",BW$12&lt;&gt;0,$H23&gt;0,OR(AUTOEVENTO&lt;&gt;"manual",$M23&lt;&gt;1)),ROUND(OFFSET($P23,0,BW$13),15-13*ORÇAMENTO!$AF$7)/$H23*OFFSET(ORÇAMENTO!$X$15,ROW(BW23)-ROW(BW$15),0),0)</f>
        <v>0</v>
      </c>
      <c r="BX23" s="628">
        <f ca="1">IF(AND($D23="Serviço",BX$12&lt;&gt;0,$H23&gt;0,OR(AUTOEVENTO&lt;&gt;"manual",$M23&lt;&gt;1)),ROUND(OFFSET($P23,0,BX$13),15-13*ORÇAMENTO!$AF$7)/$H23*OFFSET(ORÇAMENTO!$X$15,ROW(BX23)-ROW(BX$15),0),0)</f>
        <v>0</v>
      </c>
      <c r="BY23" s="629">
        <f ca="1">IF(AND($D23="Serviço",BY$12&lt;&gt;0,$H23&gt;0,OR(AUTOEVENTO&lt;&gt;"manual",$M23&lt;&gt;1)),ROUND(OFFSET($P23,0,BY$13),15-13*ORÇAMENTO!$AF$7)/$H23*OFFSET(ORÇAMENTO!$X$15,ROW(BY23)-ROW(BY$15),0),0)</f>
        <v>0</v>
      </c>
      <c r="BZ23" s="628">
        <f ca="1">IF(AND($D23="Serviço",BZ$12&lt;&gt;0,$H23&gt;0,OR(AUTOEVENTO&lt;&gt;"manual",$M23&lt;&gt;1)),ROUND(OFFSET($P23,0,BZ$13),15-13*ORÇAMENTO!$AF$7)/$H23*OFFSET(ORÇAMENTO!$X$15,ROW(BZ23)-ROW(BZ$15),0),0)</f>
        <v>0</v>
      </c>
      <c r="CA23" s="628">
        <f ca="1">IF(AND($D23="Serviço",CA$12&lt;&gt;0,$H23&gt;0,OR(AUTOEVENTO&lt;&gt;"manual",$M23&lt;&gt;1)),ROUND(OFFSET($P23,0,CA$13),15-13*ORÇAMENTO!$AF$7)/$H23*OFFSET(ORÇAMENTO!$X$15,ROW(CA23)-ROW(CA$15),0),0)</f>
        <v>0</v>
      </c>
      <c r="CB23" s="628">
        <f ca="1">IF(AND($D23="Serviço",CB$12&lt;&gt;0,$H23&gt;0,OR(AUTOEVENTO&lt;&gt;"manual",$M23&lt;&gt;1)),ROUND(OFFSET($P23,0,CB$13),15-13*ORÇAMENTO!$AF$7)/$H23*OFFSET(ORÇAMENTO!$X$15,ROW(CB23)-ROW(CB$15),0),0)</f>
        <v>0</v>
      </c>
      <c r="CC23" s="628">
        <f ca="1">IF(AND($D23="Serviço",CC$12&lt;&gt;0,$H23&gt;0,OR(AUTOEVENTO&lt;&gt;"manual",$M23&lt;&gt;1)),ROUND(OFFSET($P23,0,CC$13),15-13*ORÇAMENTO!$AF$7)/$H23*OFFSET(ORÇAMENTO!$X$15,ROW(CC23)-ROW(CC$15),0),0)</f>
        <v>0</v>
      </c>
      <c r="CD23" s="628">
        <f ca="1">IF(AND($D23="Serviço",CD$12&lt;&gt;0,$H23&gt;0,OR(AUTOEVENTO&lt;&gt;"manual",$M23&lt;&gt;1)),ROUND(OFFSET($P23,0,CD$13),15-13*ORÇAMENTO!$AF$7)/$H23*OFFSET(ORÇAMENTO!$X$15,ROW(CD23)-ROW(CD$15),0),0)</f>
        <v>0</v>
      </c>
      <c r="CE23" s="628">
        <f ca="1">IF(AND($D23="Serviço",CE$12&lt;&gt;0,$H23&gt;0,OR(AUTOEVENTO&lt;&gt;"manual",$M23&lt;&gt;1)),ROUND(OFFSET($P23,0,CE$13),15-13*ORÇAMENTO!$AF$7)/$H23*OFFSET(ORÇAMENTO!$X$15,ROW(CE23)-ROW(CE$15),0),0)</f>
        <v>0</v>
      </c>
      <c r="CF23" s="628">
        <f ca="1">IF(AND($D23="Serviço",CF$12&lt;&gt;0,$H23&gt;0,OR(AUTOEVENTO&lt;&gt;"manual",$M23&lt;&gt;1)),ROUND(OFFSET($P23,0,CF$13),15-13*ORÇAMENTO!$AF$7)/$H23*OFFSET(ORÇAMENTO!$X$15,ROW(CF23)-ROW(CF$15),0),0)</f>
        <v>0</v>
      </c>
      <c r="CG23" s="629">
        <f ca="1">IF(AND($D23="Serviço",CG$12&lt;&gt;0,$H23&gt;0,OR(AUTOEVENTO&lt;&gt;"manual",$M23&lt;&gt;1)),ROUND(OFFSET($P23,0,CG$13),15-13*ORÇAMENTO!$AF$7)/$H23*OFFSET(ORÇAMENTO!$X$15,ROW(CG23)-ROW(CG$15),0),0)</f>
        <v>0</v>
      </c>
      <c r="CH23" s="628">
        <f ca="1">IF(AND($D23="Serviço",CH$12&lt;&gt;0,$H23&gt;0,OR(AUTOEVENTO&lt;&gt;"manual",$M23&lt;&gt;1)),ROUND(OFFSET($P23,0,CH$13),15-13*ORÇAMENTO!$AF$7)/$H23*OFFSET(ORÇAMENTO!$X$15,ROW(CH23)-ROW(CH$15),0),0)</f>
        <v>0</v>
      </c>
      <c r="CI23" s="628">
        <f ca="1">IF(AND($D23="Serviço",CI$12&lt;&gt;0,$H23&gt;0,OR(AUTOEVENTO&lt;&gt;"manual",$M23&lt;&gt;1)),ROUND(OFFSET($P23,0,CI$13),15-13*ORÇAMENTO!$AF$7)/$H23*OFFSET(ORÇAMENTO!$X$15,ROW(CI23)-ROW(CI$15),0),0)</f>
        <v>0</v>
      </c>
      <c r="CJ23" s="628">
        <f ca="1">IF(AND($D23="Serviço",CJ$12&lt;&gt;0,$H23&gt;0,OR(AUTOEVENTO&lt;&gt;"manual",$M23&lt;&gt;1)),ROUND(OFFSET($P23,0,CJ$13),15-13*ORÇAMENTO!$AF$7)/$H23*OFFSET(ORÇAMENTO!$X$15,ROW(CJ23)-ROW(CJ$15),0),0)</f>
        <v>0</v>
      </c>
      <c r="CK23" s="628">
        <f ca="1">IF(AND($D23="Serviço",CK$12&lt;&gt;0,$H23&gt;0,OR(AUTOEVENTO&lt;&gt;"manual",$M23&lt;&gt;1)),ROUND(OFFSET($P23,0,CK$13),15-13*ORÇAMENTO!$AF$7)/$H23*OFFSET(ORÇAMENTO!$X$15,ROW(CK23)-ROW(CK$15),0),0)</f>
        <v>0</v>
      </c>
      <c r="CL23" s="628">
        <f ca="1">IF(AND($D23="Serviço",CL$12&lt;&gt;0,$H23&gt;0,OR(AUTOEVENTO&lt;&gt;"manual",$M23&lt;&gt;1)),ROUND(OFFSET($P23,0,CL$13),15-13*ORÇAMENTO!$AF$7)/$H23*OFFSET(ORÇAMENTO!$X$15,ROW(CL23)-ROW(CL$15),0),0)</f>
        <v>0</v>
      </c>
      <c r="CM23" s="628">
        <f ca="1">IF(AND($D23="Serviço",CM$12&lt;&gt;0,$H23&gt;0,OR(AUTOEVENTO&lt;&gt;"manual",$M23&lt;&gt;1)),ROUND(OFFSET($P23,0,CM$13),15-13*ORÇAMENTO!$AF$7)/$H23*OFFSET(ORÇAMENTO!$X$15,ROW(CM23)-ROW(CM$15),0),0)</f>
        <v>0</v>
      </c>
      <c r="CN23" s="628">
        <f ca="1">IF(AND($D23="Serviço",CN$12&lt;&gt;0,$H23&gt;0,OR(AUTOEVENTO&lt;&gt;"manual",$M23&lt;&gt;1)),ROUND(OFFSET($P23,0,CN$13),15-13*ORÇAMENTO!$AF$7)/$H23*OFFSET(ORÇAMENTO!$X$15,ROW(CN23)-ROW(CN$15),0),0)</f>
        <v>0</v>
      </c>
      <c r="CO23" s="629">
        <f ca="1">IF(AND($D23="Serviço",CO$12&lt;&gt;0,$H23&gt;0,OR(AUTOEVENTO&lt;&gt;"manual",$M23&lt;&gt;1)),ROUND(OFFSET($P23,0,CO$13),15-13*ORÇAMENTO!$AF$7)/$H23*OFFSET(ORÇAMENTO!$X$15,ROW(CO23)-ROW(CO$15),0),0)</f>
        <v>0</v>
      </c>
      <c r="CP23" s="628">
        <f ca="1">IF(AND($D23="Serviço",CP$12&lt;&gt;0,$H23&gt;0,OR(AUTOEVENTO&lt;&gt;"manual",$M23&lt;&gt;1)),ROUND(OFFSET($P23,0,CP$13),15-13*ORÇAMENTO!$AF$7)/$H23*OFFSET(ORÇAMENTO!$X$15,ROW(CP23)-ROW(CP$15),0),0)</f>
        <v>0</v>
      </c>
      <c r="CQ23" s="628">
        <f ca="1">IF(AND($D23="Serviço",CQ$12&lt;&gt;0,$H23&gt;0,OR(AUTOEVENTO&lt;&gt;"manual",$M23&lt;&gt;1)),ROUND(OFFSET($P23,0,CQ$13),15-13*ORÇAMENTO!$AF$7)/$H23*OFFSET(ORÇAMENTO!$X$15,ROW(CQ23)-ROW(CQ$15),0),0)</f>
        <v>0</v>
      </c>
      <c r="CR23" s="628">
        <f ca="1">IF(AND($D23="Serviço",CR$12&lt;&gt;0,$H23&gt;0,OR(AUTOEVENTO&lt;&gt;"manual",$M23&lt;&gt;1)),ROUND(OFFSET($P23,0,CR$13),15-13*ORÇAMENTO!$AF$7)/$H23*OFFSET(ORÇAMENTO!$X$15,ROW(CR23)-ROW(CR$15),0),0)</f>
        <v>0</v>
      </c>
      <c r="CS23" s="628">
        <f ca="1">IF(AND($D23="Serviço",CS$12&lt;&gt;0,$H23&gt;0,OR(AUTOEVENTO&lt;&gt;"manual",$M23&lt;&gt;1)),ROUND(OFFSET($P23,0,CS$13),15-13*ORÇAMENTO!$AF$7)/$H23*OFFSET(ORÇAMENTO!$X$15,ROW(CS23)-ROW(CS$15),0),0)</f>
        <v>0</v>
      </c>
      <c r="CT23" s="628">
        <f ca="1">IF(AND($D23="Serviço",CT$12&lt;&gt;0,$H23&gt;0,OR(AUTOEVENTO&lt;&gt;"manual",$M23&lt;&gt;1)),ROUND(OFFSET($P23,0,CT$13),15-13*ORÇAMENTO!$AF$7)/$H23*OFFSET(ORÇAMENTO!$X$15,ROW(CT23)-ROW(CT$15),0),0)</f>
        <v>0</v>
      </c>
      <c r="CU23" s="628">
        <f ca="1">IF(AND($D23="Serviço",CU$12&lt;&gt;0,$H23&gt;0,OR(AUTOEVENTO&lt;&gt;"manual",$M23&lt;&gt;1)),ROUND(OFFSET($P23,0,CU$13),15-13*ORÇAMENTO!$AF$7)/$H23*OFFSET(ORÇAMENTO!$X$15,ROW(CU23)-ROW(CU$15),0),0)</f>
        <v>0</v>
      </c>
      <c r="CV23" s="628">
        <f ca="1">IF(AND($D23="Serviço",CV$12&lt;&gt;0,$H23&gt;0,OR(AUTOEVENTO&lt;&gt;"manual",$M23&lt;&gt;1)),ROUND(OFFSET($P23,0,CV$13),15-13*ORÇAMENTO!$AF$7)/$H23*OFFSET(ORÇAMENTO!$X$15,ROW(CV23)-ROW(CV$15),0),0)</f>
        <v>0</v>
      </c>
      <c r="CW23" s="629">
        <f ca="1">IF(AND($D23="Serviço",CW$12&lt;&gt;0,$H23&gt;0,OR(AUTOEVENTO&lt;&gt;"manual",$M23&lt;&gt;1)),ROUND(OFFSET($P23,0,CW$13),15-13*ORÇAMENTO!$AF$7)/$H23*OFFSET(ORÇAMENTO!$X$15,ROW(CW23)-ROW(CW$15),0),0)</f>
        <v>0</v>
      </c>
      <c r="CX23" s="628">
        <f ca="1">IF(AND($D23="Serviço",CX$12&lt;&gt;0,$H23&gt;0,OR(AUTOEVENTO&lt;&gt;"manual",$M23&lt;&gt;1)),ROUND(OFFSET($P23,0,CX$13),15-13*ORÇAMENTO!$AF$7)/$H23*OFFSET(ORÇAMENTO!$X$15,ROW(CX23)-ROW(CX$15),0),0)</f>
        <v>0</v>
      </c>
      <c r="CY23" s="628">
        <f ca="1">IF(AND($D23="Serviço",CY$12&lt;&gt;0,$H23&gt;0,OR(AUTOEVENTO&lt;&gt;"manual",$M23&lt;&gt;1)),ROUND(OFFSET($P23,0,CY$13),15-13*ORÇAMENTO!$AF$7)/$H23*OFFSET(ORÇAMENTO!$X$15,ROW(CY23)-ROW(CY$15),0),0)</f>
        <v>0</v>
      </c>
      <c r="CZ23" s="628">
        <f ca="1">IF(AND($D23="Serviço",CZ$12&lt;&gt;0,$H23&gt;0,OR(AUTOEVENTO&lt;&gt;"manual",$M23&lt;&gt;1)),ROUND(OFFSET($P23,0,CZ$13),15-13*ORÇAMENTO!$AF$7)/$H23*OFFSET(ORÇAMENTO!$X$15,ROW(CZ23)-ROW(CZ$15),0),0)</f>
        <v>0</v>
      </c>
      <c r="DA23" s="628">
        <f ca="1">IF(AND($D23="Serviço",DA$12&lt;&gt;0,$H23&gt;0,OR(AUTOEVENTO&lt;&gt;"manual",$M23&lt;&gt;1)),ROUND(OFFSET($P23,0,DA$13),15-13*ORÇAMENTO!$AF$7)/$H23*OFFSET(ORÇAMENTO!$X$15,ROW(DA23)-ROW(DA$15),0),0)</f>
        <v>0</v>
      </c>
      <c r="DB23" s="628">
        <f ca="1">IF(AND($D23="Serviço",DB$12&lt;&gt;0,$H23&gt;0,OR(AUTOEVENTO&lt;&gt;"manual",$M23&lt;&gt;1)),ROUND(OFFSET($P23,0,DB$13),15-13*ORÇAMENTO!$AF$7)/$H23*OFFSET(ORÇAMENTO!$X$15,ROW(DB23)-ROW(DB$15),0),0)</f>
        <v>0</v>
      </c>
      <c r="DC23" s="628">
        <f ca="1">IF(AND($D23="Serviço",DC$12&lt;&gt;0,$H23&gt;0,OR(AUTOEVENTO&lt;&gt;"manual",$M23&lt;&gt;1)),ROUND(OFFSET($P23,0,DC$13),15-13*ORÇAMENTO!$AF$7)/$H23*OFFSET(ORÇAMENTO!$X$15,ROW(DC23)-ROW(DC$15),0),0)</f>
        <v>0</v>
      </c>
      <c r="DD23" s="628">
        <f ca="1">IF(AND($D23="Serviço",DD$12&lt;&gt;0,$H23&gt;0,OR(AUTOEVENTO&lt;&gt;"manual",$M23&lt;&gt;1)),ROUND(OFFSET($P23,0,DD$13),15-13*ORÇAMENTO!$AF$7)/$H23*OFFSET(ORÇAMENTO!$X$15,ROW(DD23)-ROW(DD$15),0),0)</f>
        <v>0</v>
      </c>
      <c r="DE23" s="629">
        <f ca="1">IF(AND($D23="Serviço",DE$12&lt;&gt;0,$H23&gt;0,OR(AUTOEVENTO&lt;&gt;"manual",$M23&lt;&gt;1)),ROUND(OFFSET($P23,0,DE$13),15-13*ORÇAMENTO!$AF$7)/$H23*OFFSET(ORÇAMENTO!$X$15,ROW(DE23)-ROW(DE$15),0),0)</f>
        <v>0</v>
      </c>
      <c r="DF23" s="628">
        <f ca="1">IF(AND($D23="Serviço",DF$12&lt;&gt;0,$H23&gt;0,OR(AUTOEVENTO&lt;&gt;"manual",$M23&lt;&gt;1)),ROUND(OFFSET($P23,0,DF$13),15-13*ORÇAMENTO!$AF$7)/$H23*OFFSET(ORÇAMENTO!$X$15,ROW(DF23)-ROW(DF$15),0),0)</f>
        <v>0</v>
      </c>
      <c r="DG23" s="628">
        <f ca="1">IF(AND($D23="Serviço",DG$12&lt;&gt;0,$H23&gt;0,OR(AUTOEVENTO&lt;&gt;"manual",$M23&lt;&gt;1)),ROUND(OFFSET($P23,0,DG$13),15-13*ORÇAMENTO!$AF$7)/$H23*OFFSET(ORÇAMENTO!$X$15,ROW(DG23)-ROW(DG$15),0),0)</f>
        <v>0</v>
      </c>
      <c r="DH23" s="628">
        <f ca="1">IF(AND($D23="Serviço",DH$12&lt;&gt;0,$H23&gt;0,OR(AUTOEVENTO&lt;&gt;"manual",$M23&lt;&gt;1)),ROUND(OFFSET($P23,0,DH$13),15-13*ORÇAMENTO!$AF$7)/$H23*OFFSET(ORÇAMENTO!$X$15,ROW(DH23)-ROW(DH$15),0),0)</f>
        <v>0</v>
      </c>
      <c r="DI23" s="628">
        <f ca="1">IF(AND($D23="Serviço",DI$12&lt;&gt;0,$H23&gt;0,OR(AUTOEVENTO&lt;&gt;"manual",$M23&lt;&gt;1)),ROUND(OFFSET($P23,0,DI$13),15-13*ORÇAMENTO!$AF$7)/$H23*OFFSET(ORÇAMENTO!$X$15,ROW(DI23)-ROW(DI$15),0),0)</f>
        <v>0</v>
      </c>
      <c r="DJ23" s="628">
        <f ca="1">IF(AND($D23="Serviço",DJ$12&lt;&gt;0,$H23&gt;0,OR(AUTOEVENTO&lt;&gt;"manual",$M23&lt;&gt;1)),ROUND(OFFSET($P23,0,DJ$13),15-13*ORÇAMENTO!$AF$7)/$H23*OFFSET(ORÇAMENTO!$X$15,ROW(DJ23)-ROW(DJ$15),0),0)</f>
        <v>0</v>
      </c>
      <c r="DK23" s="628">
        <f ca="1">IF(AND($D23="Serviço",DK$12&lt;&gt;0,$H23&gt;0,OR(AUTOEVENTO&lt;&gt;"manual",$M23&lt;&gt;1)),ROUND(OFFSET($P23,0,DK$13),15-13*ORÇAMENTO!$AF$7)/$H23*OFFSET(ORÇAMENTO!$X$15,ROW(DK23)-ROW(DK$15),0),0)</f>
        <v>0</v>
      </c>
      <c r="DL23" s="628">
        <f ca="1">IF(AND($D23="Serviço",DL$12&lt;&gt;0,$H23&gt;0,OR(AUTOEVENTO&lt;&gt;"manual",$M23&lt;&gt;1)),ROUND(OFFSET($P23,0,DL$13),15-13*ORÇAMENTO!$AF$7)/$H23*OFFSET(ORÇAMENTO!$X$15,ROW(DL23)-ROW(DL$15),0),0)</f>
        <v>0</v>
      </c>
      <c r="DM23" s="629">
        <f ca="1">IF(AND($D23="Serviço",DM$12&lt;&gt;0,$H23&gt;0,OR(AUTOEVENTO&lt;&gt;"manual",$M23&lt;&gt;1)),ROUND(OFFSET($P23,0,DM$13),15-13*ORÇAMENTO!$AF$7)/$H23*OFFSET(ORÇAMENTO!$X$15,ROW(DM23)-ROW(DM$15),0),0)</f>
        <v>0</v>
      </c>
      <c r="DO23" s="211">
        <f ca="1">IF($D23&lt;&gt;"Serviço",0,IF(AND(AUTOEVENTO="Manual",$M23=1),0,IF(OFFSET(CRONOPLE!$F$14,$M23,DO$13)="",10^12,OFFSET(CRONOPLE!$F$14,$M23,DO$13))))</f>
        <v>1</v>
      </c>
      <c r="DP23" s="211">
        <f ca="1">IF($D23&lt;&gt;"Serviço",0,IF(AND(AUTOEVENTO="Manual",$M23=1),0,IF(OFFSET(CRONOPLE!$F$14,$M23,DP$13)="",10^12,OFFSET(CRONOPLE!$F$14,$M23,DP$13))))</f>
        <v>2</v>
      </c>
      <c r="DQ23" s="211">
        <f ca="1">IF($D23&lt;&gt;"Serviço",0,IF(AND(AUTOEVENTO="Manual",$M23=1),0,IF(OFFSET(CRONOPLE!$F$14,$M23,DQ$13)="",10^12,OFFSET(CRONOPLE!$F$14,$M23,DQ$13))))</f>
        <v>3</v>
      </c>
      <c r="DR23" s="211">
        <f ca="1">IF($D23&lt;&gt;"Serviço",0,IF(AND(AUTOEVENTO="Manual",$M23=1),0,IF(OFFSET(CRONOPLE!$F$14,$M23,DR$13)="",10^12,OFFSET(CRONOPLE!$F$14,$M23,DR$13))))</f>
        <v>4</v>
      </c>
      <c r="DS23" s="211">
        <f ca="1">IF($D23&lt;&gt;"Serviço",0,IF(AND(AUTOEVENTO="Manual",$M23=1),0,IF(OFFSET(CRONOPLE!$F$14,$M23,DS$13)="",10^12,OFFSET(CRONOPLE!$F$14,$M23,DS$13))))</f>
        <v>5</v>
      </c>
      <c r="DT23" s="211">
        <f ca="1">IF($D23&lt;&gt;"Serviço",0,IF(AND(AUTOEVENTO="Manual",$M23=1),0,IF(OFFSET(CRONOPLE!$F$14,$M23,DT$13)="",10^12,OFFSET(CRONOPLE!$F$14,$M23,DT$13))))</f>
        <v>6</v>
      </c>
      <c r="DU23" s="211">
        <f ca="1">IF($D23&lt;&gt;"Serviço",0,IF(AND(AUTOEVENTO="Manual",$M23=1),0,IF(OFFSET(CRONOPLE!$F$14,$M23,DU$13)="",10^12,OFFSET(CRONOPLE!$F$14,$M23,DU$13))))</f>
        <v>1000000000000</v>
      </c>
      <c r="DV23" s="211">
        <f ca="1">IF($D23&lt;&gt;"Serviço",0,IF(AND(AUTOEVENTO="Manual",$M23=1),0,IF(OFFSET(CRONOPLE!$F$14,$M23,DV$13)="",10^12,OFFSET(CRONOPLE!$F$14,$M23,DV$13))))</f>
        <v>1000000000000</v>
      </c>
      <c r="DW23" s="211">
        <f ca="1">IF($D23&lt;&gt;"Serviço",0,IF(AND(AUTOEVENTO="Manual",$M23=1),0,IF(OFFSET(CRONOPLE!$F$14,$M23,DW$13)="",10^12,OFFSET(CRONOPLE!$F$14,$M23,DW$13))))</f>
        <v>1000000000000</v>
      </c>
      <c r="DX23" s="211">
        <f ca="1">IF($D23&lt;&gt;"Serviço",0,IF(AND(AUTOEVENTO="Manual",$M23=1),0,IF(OFFSET(CRONOPLE!$F$14,$M23,DX$13)="",10^12,OFFSET(CRONOPLE!$F$14,$M23,DX$13))))</f>
        <v>1000000000000</v>
      </c>
      <c r="DY23" s="211">
        <f ca="1">IF($D23&lt;&gt;"Serviço",0,IF(AND(AUTOEVENTO="Manual",$M23=1),0,IF(OFFSET(CRONOPLE!$F$14,$M23,DY$13)="",10^12,OFFSET(CRONOPLE!$F$14,$M23,DY$13))))</f>
        <v>1000000000000</v>
      </c>
      <c r="DZ23" s="211">
        <f ca="1">IF($D23&lt;&gt;"Serviço",0,IF(AND(AUTOEVENTO="Manual",$M23=1),0,IF(OFFSET(CRONOPLE!$F$14,$M23,DZ$13)="",10^12,OFFSET(CRONOPLE!$F$14,$M23,DZ$13))))</f>
        <v>1000000000000</v>
      </c>
      <c r="EA23" s="211">
        <f ca="1">IF($D23&lt;&gt;"Serviço",0,IF(AND(AUTOEVENTO="Manual",$M23=1),0,IF(OFFSET(CRONOPLE!$F$14,$M23,EA$13)="",10^12,OFFSET(CRONOPLE!$F$14,$M23,EA$13))))</f>
        <v>1000000000000</v>
      </c>
      <c r="EB23" s="211">
        <f ca="1">IF($D23&lt;&gt;"Serviço",0,IF(AND(AUTOEVENTO="Manual",$M23=1),0,IF(OFFSET(CRONOPLE!$F$14,$M23,EB$13)="",10^12,OFFSET(CRONOPLE!$F$14,$M23,EB$13))))</f>
        <v>1000000000000</v>
      </c>
      <c r="EC23" s="211">
        <f ca="1">IF($D23&lt;&gt;"Serviço",0,IF(AND(AUTOEVENTO="Manual",$M23=1),0,IF(OFFSET(CRONOPLE!$F$14,$M23,EC$13)="",10^12,OFFSET(CRONOPLE!$F$14,$M23,EC$13))))</f>
        <v>1000000000000</v>
      </c>
      <c r="ED23" s="211">
        <f ca="1">IF($D23&lt;&gt;"Serviço",0,IF(AND(AUTOEVENTO="Manual",$M23=1),0,IF(OFFSET(CRONOPLE!$F$14,$M23,ED$13)="",10^12,OFFSET(CRONOPLE!$F$14,$M23,ED$13))))</f>
        <v>1000000000000</v>
      </c>
      <c r="EE23" s="211">
        <f ca="1">IF($D23&lt;&gt;"Serviço",0,IF(AND(AUTOEVENTO="Manual",$M23=1),0,IF(OFFSET(CRONOPLE!$F$14,$M23,EE$13)="",10^12,OFFSET(CRONOPLE!$F$14,$M23,EE$13))))</f>
        <v>1000000000000</v>
      </c>
      <c r="EF23" s="211">
        <f ca="1">IF($D23&lt;&gt;"Serviço",0,IF(AND(AUTOEVENTO="Manual",$M23=1),0,IF(OFFSET(CRONOPLE!$F$14,$M23,EF$13)="",10^12,OFFSET(CRONOPLE!$F$14,$M23,EF$13))))</f>
        <v>1000000000000</v>
      </c>
      <c r="EG23" s="211">
        <f ca="1">IF($D23&lt;&gt;"Serviço",0,IF(AND(AUTOEVENTO="Manual",$M23=1),0,IF(OFFSET(CRONOPLE!$F$14,$M23,EG$13)="",10^12,OFFSET(CRONOPLE!$F$14,$M23,EG$13))))</f>
        <v>1000000000000</v>
      </c>
      <c r="EH23" s="211">
        <f ca="1">IF($D23&lt;&gt;"Serviço",0,IF(AND(AUTOEVENTO="Manual",$M23=1),0,IF(OFFSET(CRONOPLE!$F$14,$M23,EH$13)="",10^12,OFFSET(CRONOPLE!$F$14,$M23,EH$13))))</f>
        <v>1000000000000</v>
      </c>
      <c r="EI23" s="211">
        <f ca="1">IF($D23&lt;&gt;"Serviço",0,IF(AND(AUTOEVENTO="Manual",$M23=1),0,IF(OFFSET(CRONOPLE!$F$14,$M23,EI$13)="",10^12,OFFSET(CRONOPLE!$F$14,$M23,EI$13))))</f>
        <v>1000000000000</v>
      </c>
      <c r="EJ23" s="211">
        <f ca="1">IF($D23&lt;&gt;"Serviço",0,IF(AND(AUTOEVENTO="Manual",$M23=1),0,IF(OFFSET(CRONOPLE!$F$14,$M23,EJ$13)="",10^12,OFFSET(CRONOPLE!$F$14,$M23,EJ$13))))</f>
        <v>1000000000000</v>
      </c>
      <c r="EK23" s="211">
        <f ca="1">IF($D23&lt;&gt;"Serviço",0,IF(AND(AUTOEVENTO="Manual",$M23=1),0,IF(OFFSET(CRONOPLE!$F$14,$M23,EK$13)="",10^12,OFFSET(CRONOPLE!$F$14,$M23,EK$13))))</f>
        <v>1000000000000</v>
      </c>
      <c r="EL23" s="211">
        <f ca="1">IF($D23&lt;&gt;"Serviço",0,IF(AND(AUTOEVENTO="Manual",$M23=1),0,IF(OFFSET(CRONOPLE!$F$14,$M23,EL$13)="",10^12,OFFSET(CRONOPLE!$F$14,$M23,EL$13))))</f>
        <v>1000000000000</v>
      </c>
      <c r="EM23" s="211">
        <f ca="1">IF($D23&lt;&gt;"Serviço",0,IF(AND(AUTOEVENTO="Manual",$M23=1),0,IF(OFFSET(CRONOPLE!$F$14,$M23,EM$13)="",10^12,OFFSET(CRONOPLE!$F$14,$M23,EM$13))))</f>
        <v>1000000000000</v>
      </c>
      <c r="EN23" s="211">
        <f ca="1">IF($D23&lt;&gt;"Serviço",0,IF(AND(AUTOEVENTO="Manual",$M23=1),0,IF(OFFSET(CRONOPLE!$F$14,$M23,EN$13)="",10^12,OFFSET(CRONOPLE!$F$14,$M23,EN$13))))</f>
        <v>1000000000000</v>
      </c>
      <c r="EO23" s="211">
        <f ca="1">IF($D23&lt;&gt;"Serviço",0,IF(AND(AUTOEVENTO="Manual",$M23=1),0,IF(OFFSET(CRONOPLE!$F$14,$M23,EO$13)="",10^12,OFFSET(CRONOPLE!$F$14,$M23,EO$13))))</f>
        <v>1000000000000</v>
      </c>
      <c r="EP23" s="211">
        <f ca="1">IF($D23&lt;&gt;"Serviço",0,IF(AND(AUTOEVENTO="Manual",$M23=1),0,IF(OFFSET(CRONOPLE!$F$14,$M23,EP$13)="",10^12,OFFSET(CRONOPLE!$F$14,$M23,EP$13))))</f>
        <v>1000000000000</v>
      </c>
      <c r="EQ23" s="211">
        <f ca="1">IF($D23&lt;&gt;"Serviço",0,IF(AND(AUTOEVENTO="Manual",$M23=1),0,IF(OFFSET(CRONOPLE!$F$14,$M23,EQ$13)="",10^12,OFFSET(CRONOPLE!$F$14,$M23,EQ$13))))</f>
        <v>1000000000000</v>
      </c>
      <c r="ER23" s="211">
        <f ca="1">IF($D23&lt;&gt;"Serviço",0,IF(AND(AUTOEVENTO="Manual",$M23=1),0,IF(OFFSET(CRONOPLE!$F$14,$M23,ER$13)="",10^12,OFFSET(CRONOPLE!$F$14,$M23,ER$13))))</f>
        <v>1000000000000</v>
      </c>
      <c r="ES23" s="211">
        <f ca="1">IF($D23&lt;&gt;"Serviço",0,IF(AND(AUTOEVENTO="Manual",$M23=1),0,IF(OFFSET(CRONOPLE!$F$14,$M23,ES$13)="",10^12,OFFSET(CRONOPLE!$F$14,$M23,ES$13))))</f>
        <v>1000000000000</v>
      </c>
      <c r="ET23" s="211">
        <f ca="1">IF($D23&lt;&gt;"Serviço",0,IF(AND(AUTOEVENTO="Manual",$M23=1),0,IF(OFFSET(CRONOPLE!$F$14,$M23,ET$13)="",10^12,OFFSET(CRONOPLE!$F$14,$M23,ET$13))))</f>
        <v>1000000000000</v>
      </c>
      <c r="EU23" s="211">
        <f ca="1">IF($D23&lt;&gt;"Serviço",0,IF(AND(AUTOEVENTO="Manual",$M23=1),0,IF(OFFSET(CRONOPLE!$F$14,$M23,EU$13)="",10^12,OFFSET(CRONOPLE!$F$14,$M23,EU$13))))</f>
        <v>1000000000000</v>
      </c>
      <c r="EV23" s="211">
        <f ca="1">IF($D23&lt;&gt;"Serviço",0,IF(AND(AUTOEVENTO="Manual",$M23=1),0,IF(OFFSET(CRONOPLE!$F$14,$M23,EV$13)="",10^12,OFFSET(CRONOPLE!$F$14,$M23,EV$13))))</f>
        <v>1000000000000</v>
      </c>
      <c r="EW23" s="211">
        <f ca="1">IF($D23&lt;&gt;"Serviço",0,IF(AND(AUTOEVENTO="Manual",$M23=1),0,IF(OFFSET(CRONOPLE!$F$14,$M23,EW$13)="",10^12,OFFSET(CRONOPLE!$F$14,$M23,EW$13))))</f>
        <v>1000000000000</v>
      </c>
      <c r="EX23" s="211">
        <f ca="1">IF($D23&lt;&gt;"Serviço",0,IF(AND(AUTOEVENTO="Manual",$M23=1),0,IF(OFFSET(CRONOPLE!$F$14,$M23,EX$13)="",10^12,OFFSET(CRONOPLE!$F$14,$M23,EX$13))))</f>
        <v>1000000000000</v>
      </c>
      <c r="EY23" s="211">
        <f ca="1">IF($D23&lt;&gt;"Serviço",0,IF(AND(AUTOEVENTO="Manual",$M23=1),0,IF(OFFSET(CRONOPLE!$F$14,$M23,EY$13)="",10^12,OFFSET(CRONOPLE!$F$14,$M23,EY$13))))</f>
        <v>1000000000000</v>
      </c>
      <c r="EZ23" s="211">
        <f ca="1">IF($D23&lt;&gt;"Serviço",0,IF(AND(AUTOEVENTO="Manual",$M23=1),0,IF(OFFSET(CRONOPLE!$F$14,$M23,EZ$13)="",10^12,OFFSET(CRONOPLE!$F$14,$M23,EZ$13))))</f>
        <v>1000000000000</v>
      </c>
      <c r="FA23" s="211">
        <f ca="1">IF($D23&lt;&gt;"Serviço",0,IF(AND(AUTOEVENTO="Manual",$M23=1),0,IF(OFFSET(CRONOPLE!$F$14,$M23,FA$13)="",10^12,OFFSET(CRONOPLE!$F$14,$M23,FA$13))))</f>
        <v>1000000000000</v>
      </c>
      <c r="FB23" s="211">
        <f ca="1">IF($D23&lt;&gt;"Serviço",0,IF(AND(AUTOEVENTO="Manual",$M23=1),0,IF(OFFSET(CRONOPLE!$F$14,$M23,FB$13)="",10^12,OFFSET(CRONOPLE!$F$14,$M23,FB$13))))</f>
        <v>1000000000000</v>
      </c>
      <c r="FC23" s="211">
        <f ca="1">IF($D23&lt;&gt;"Serviço",0,IF(AND(AUTOEVENTO="Manual",$M23=1),0,IF(OFFSET(CRONOPLE!$F$14,$M23,FC$13)="",10^12,OFFSET(CRONOPLE!$F$14,$M23,FC$13))))</f>
        <v>1000000000000</v>
      </c>
      <c r="FD23" s="211">
        <f ca="1">IF($D23&lt;&gt;"Serviço",0,IF(AND(AUTOEVENTO="Manual",$M23=1),0,IF(OFFSET(CRONOPLE!$F$14,$M23,FD$13)="",10^12,OFFSET(CRONOPLE!$F$14,$M23,FD$13))))</f>
        <v>1000000000000</v>
      </c>
      <c r="FE23" s="211">
        <f ca="1">IF($D23&lt;&gt;"Serviço",0,IF(AND(AUTOEVENTO="Manual",$M23=1),0,IF(OFFSET(CRONOPLE!$F$14,$M23,FE$13)="",10^12,OFFSET(CRONOPLE!$F$14,$M23,FE$13))))</f>
        <v>1000000000000</v>
      </c>
      <c r="FF23" s="211">
        <f ca="1">IF($D23&lt;&gt;"Serviço",0,IF(AND(AUTOEVENTO="Manual",$M23=1),0,IF(OFFSET(CRONOPLE!$F$14,$M23,FF$13)="",10^12,OFFSET(CRONOPLE!$F$14,$M23,FF$13))))</f>
        <v>1000000000000</v>
      </c>
      <c r="FG23" s="211">
        <f ca="1">IF($D23&lt;&gt;"Serviço",0,IF(AND(AUTOEVENTO="Manual",$M23=1),0,IF(OFFSET(CRONOPLE!$F$14,$M23,FG$13)="",10^12,OFFSET(CRONOPLE!$F$14,$M23,FG$13))))</f>
        <v>1000000000000</v>
      </c>
      <c r="FH23" s="211">
        <f ca="1">IF($D23&lt;&gt;"Serviço",0,IF(AND(AUTOEVENTO="Manual",$M23=1),0,IF(OFFSET(CRONOPLE!$F$14,$M23,FH$13)="",10^12,OFFSET(CRONOPLE!$F$14,$M23,FH$13))))</f>
        <v>1000000000000</v>
      </c>
      <c r="FI23" s="211">
        <f ca="1">IF($D23&lt;&gt;"Serviço",0,IF(AND(AUTOEVENTO="Manual",$M23=1),0,IF(OFFSET(CRONOPLE!$F$14,$M23,FI$13)="",10^12,OFFSET(CRONOPLE!$F$14,$M23,FI$13))))</f>
        <v>1000000000000</v>
      </c>
      <c r="FJ23" s="211">
        <f ca="1">IF($D23&lt;&gt;"Serviço",0,IF(AND(AUTOEVENTO="Manual",$M23=1),0,IF(OFFSET(CRONOPLE!$F$14,$M23,FJ$13)="",10^12,OFFSET(CRONOPLE!$F$14,$M23,FJ$13))))</f>
        <v>1000000000000</v>
      </c>
      <c r="FK23" s="211">
        <f ca="1">IF($D23&lt;&gt;"Serviço",0,IF(AND(AUTOEVENTO="Manual",$M23=1),0,IF(OFFSET(CRONOPLE!$F$14,$M23,FK$13)="",10^12,OFFSET(CRONOPLE!$F$14,$M23,FK$13))))</f>
        <v>1000000000000</v>
      </c>
      <c r="FL23" s="211">
        <f ca="1">IF($D23&lt;&gt;"Serviço",0,IF(AND(AUTOEVENTO="Manual",$M23=1),0,IF(OFFSET(CRONOPLE!$F$14,$M23,FL$13)="",10^12,OFFSET(CRONOPLE!$F$14,$M23,FL$13))))</f>
        <v>1000000000000</v>
      </c>
      <c r="FN23" s="212">
        <f ca="1">IF($D23&lt;&gt;"Serviço",0,IF(OR(AND(AUTOEVENTO="Manual",$M23=1),$M23&gt;(ROW(PLE.lastrow)-ROW(PLE.firstrow))),0,IF(OFFSET(PLE!$G$14,$M23,FN$13)="",10^12,OFFSET(PLE!$G$14,$M23,FN$13))))</f>
        <v>1000000000000</v>
      </c>
      <c r="FO23" s="212">
        <f ca="1">IF($D23&lt;&gt;"Serviço",0,IF(OR(AND(AUTOEVENTO="Manual",$M23=1),$M23&gt;(ROW(PLE.lastrow)-ROW(PLE.firstrow))),0,IF(OFFSET(PLE!$G$14,$M23,FO$13)="",10^12,OFFSET(PLE!$G$14,$M23,FO$13))))</f>
        <v>1000000000000</v>
      </c>
      <c r="FP23" s="212">
        <f ca="1">IF($D23&lt;&gt;"Serviço",0,IF(OR(AND(AUTOEVENTO="Manual",$M23=1),$M23&gt;(ROW(PLE.lastrow)-ROW(PLE.firstrow))),0,IF(OFFSET(PLE!$G$14,$M23,FP$13)="",10^12,OFFSET(PLE!$G$14,$M23,FP$13))))</f>
        <v>1000000000000</v>
      </c>
      <c r="FQ23" s="212">
        <f ca="1">IF($D23&lt;&gt;"Serviço",0,IF(OR(AND(AUTOEVENTO="Manual",$M23=1),$M23&gt;(ROW(PLE.lastrow)-ROW(PLE.firstrow))),0,IF(OFFSET(PLE!$G$14,$M23,FQ$13)="",10^12,OFFSET(PLE!$G$14,$M23,FQ$13))))</f>
        <v>1000000000000</v>
      </c>
      <c r="FR23" s="212">
        <f ca="1">IF($D23&lt;&gt;"Serviço",0,IF(OR(AND(AUTOEVENTO="Manual",$M23=1),$M23&gt;(ROW(PLE.lastrow)-ROW(PLE.firstrow))),0,IF(OFFSET(PLE!$G$14,$M23,FR$13)="",10^12,OFFSET(PLE!$G$14,$M23,FR$13))))</f>
        <v>1000000000000</v>
      </c>
      <c r="FS23" s="212">
        <f ca="1">IF($D23&lt;&gt;"Serviço",0,IF(OR(AND(AUTOEVENTO="Manual",$M23=1),$M23&gt;(ROW(PLE.lastrow)-ROW(PLE.firstrow))),0,IF(OFFSET(PLE!$G$14,$M23,FS$13)="",10^12,OFFSET(PLE!$G$14,$M23,FS$13))))</f>
        <v>1000000000000</v>
      </c>
      <c r="FT23" s="212">
        <f ca="1">IF($D23&lt;&gt;"Serviço",0,IF(OR(AND(AUTOEVENTO="Manual",$M23=1),$M23&gt;(ROW(PLE.lastrow)-ROW(PLE.firstrow))),0,IF(OFFSET(PLE!$G$14,$M23,FT$13)="",10^12,OFFSET(PLE!$G$14,$M23,FT$13))))</f>
        <v>1000000000000</v>
      </c>
      <c r="FU23" s="212">
        <f ca="1">IF($D23&lt;&gt;"Serviço",0,IF(OR(AND(AUTOEVENTO="Manual",$M23=1),$M23&gt;(ROW(PLE.lastrow)-ROW(PLE.firstrow))),0,IF(OFFSET(PLE!$G$14,$M23,FU$13)="",10^12,OFFSET(PLE!$G$14,$M23,FU$13))))</f>
        <v>1000000000000</v>
      </c>
      <c r="FV23" s="212">
        <f ca="1">IF($D23&lt;&gt;"Serviço",0,IF(OR(AND(AUTOEVENTO="Manual",$M23=1),$M23&gt;(ROW(PLE.lastrow)-ROW(PLE.firstrow))),0,IF(OFFSET(PLE!$G$14,$M23,FV$13)="",10^12,OFFSET(PLE!$G$14,$M23,FV$13))))</f>
        <v>1000000000000</v>
      </c>
      <c r="FW23" s="212">
        <f ca="1">IF($D23&lt;&gt;"Serviço",0,IF(OR(AND(AUTOEVENTO="Manual",$M23=1),$M23&gt;(ROW(PLE.lastrow)-ROW(PLE.firstrow))),0,IF(OFFSET(PLE!$G$14,$M23,FW$13)="",10^12,OFFSET(PLE!$G$14,$M23,FW$13))))</f>
        <v>1000000000000</v>
      </c>
      <c r="FX23" s="212">
        <f ca="1">IF($D23&lt;&gt;"Serviço",0,IF(OR(AND(AUTOEVENTO="Manual",$M23=1),$M23&gt;(ROW(PLE.lastrow)-ROW(PLE.firstrow))),0,IF(OFFSET(PLE!$G$14,$M23,FX$13)="",10^12,OFFSET(PLE!$G$14,$M23,FX$13))))</f>
        <v>1000000000000</v>
      </c>
      <c r="FY23" s="212">
        <f ca="1">IF($D23&lt;&gt;"Serviço",0,IF(OR(AND(AUTOEVENTO="Manual",$M23=1),$M23&gt;(ROW(PLE.lastrow)-ROW(PLE.firstrow))),0,IF(OFFSET(PLE!$G$14,$M23,FY$13)="",10^12,OFFSET(PLE!$G$14,$M23,FY$13))))</f>
        <v>1000000000000</v>
      </c>
      <c r="FZ23" s="212">
        <f ca="1">IF($D23&lt;&gt;"Serviço",0,IF(OR(AND(AUTOEVENTO="Manual",$M23=1),$M23&gt;(ROW(PLE.lastrow)-ROW(PLE.firstrow))),0,IF(OFFSET(PLE!$G$14,$M23,FZ$13)="",10^12,OFFSET(PLE!$G$14,$M23,FZ$13))))</f>
        <v>1000000000000</v>
      </c>
      <c r="GA23" s="212">
        <f ca="1">IF($D23&lt;&gt;"Serviço",0,IF(OR(AND(AUTOEVENTO="Manual",$M23=1),$M23&gt;(ROW(PLE.lastrow)-ROW(PLE.firstrow))),0,IF(OFFSET(PLE!$G$14,$M23,GA$13)="",10^12,OFFSET(PLE!$G$14,$M23,GA$13))))</f>
        <v>1000000000000</v>
      </c>
      <c r="GB23" s="212">
        <f ca="1">IF($D23&lt;&gt;"Serviço",0,IF(OR(AND(AUTOEVENTO="Manual",$M23=1),$M23&gt;(ROW(PLE.lastrow)-ROW(PLE.firstrow))),0,IF(OFFSET(PLE!$G$14,$M23,GB$13)="",10^12,OFFSET(PLE!$G$14,$M23,GB$13))))</f>
        <v>1000000000000</v>
      </c>
      <c r="GC23" s="212">
        <f ca="1">IF($D23&lt;&gt;"Serviço",0,IF(OR(AND(AUTOEVENTO="Manual",$M23=1),$M23&gt;(ROW(PLE.lastrow)-ROW(PLE.firstrow))),0,IF(OFFSET(PLE!$G$14,$M23,GC$13)="",10^12,OFFSET(PLE!$G$14,$M23,GC$13))))</f>
        <v>1000000000000</v>
      </c>
      <c r="GD23" s="212">
        <f ca="1">IF($D23&lt;&gt;"Serviço",0,IF(OR(AND(AUTOEVENTO="Manual",$M23=1),$M23&gt;(ROW(PLE.lastrow)-ROW(PLE.firstrow))),0,IF(OFFSET(PLE!$G$14,$M23,GD$13)="",10^12,OFFSET(PLE!$G$14,$M23,GD$13))))</f>
        <v>1000000000000</v>
      </c>
      <c r="GE23" s="212">
        <f ca="1">IF($D23&lt;&gt;"Serviço",0,IF(OR(AND(AUTOEVENTO="Manual",$M23=1),$M23&gt;(ROW(PLE.lastrow)-ROW(PLE.firstrow))),0,IF(OFFSET(PLE!$G$14,$M23,GE$13)="",10^12,OFFSET(PLE!$G$14,$M23,GE$13))))</f>
        <v>1000000000000</v>
      </c>
      <c r="GF23" s="212">
        <f ca="1">IF($D23&lt;&gt;"Serviço",0,IF(OR(AND(AUTOEVENTO="Manual",$M23=1),$M23&gt;(ROW(PLE.lastrow)-ROW(PLE.firstrow))),0,IF(OFFSET(PLE!$G$14,$M23,GF$13)="",10^12,OFFSET(PLE!$G$14,$M23,GF$13))))</f>
        <v>1000000000000</v>
      </c>
      <c r="GG23" s="212">
        <f ca="1">IF($D23&lt;&gt;"Serviço",0,IF(OR(AND(AUTOEVENTO="Manual",$M23=1),$M23&gt;(ROW(PLE.lastrow)-ROW(PLE.firstrow))),0,IF(OFFSET(PLE!$G$14,$M23,GG$13)="",10^12,OFFSET(PLE!$G$14,$M23,GG$13))))</f>
        <v>1000000000000</v>
      </c>
      <c r="GH23" s="212">
        <f ca="1">IF($D23&lt;&gt;"Serviço",0,IF(OR(AND(AUTOEVENTO="Manual",$M23=1),$M23&gt;(ROW(PLE.lastrow)-ROW(PLE.firstrow))),0,IF(OFFSET(PLE!$G$14,$M23,GH$13)="",10^12,OFFSET(PLE!$G$14,$M23,GH$13))))</f>
        <v>1000000000000</v>
      </c>
      <c r="GI23" s="212">
        <f ca="1">IF($D23&lt;&gt;"Serviço",0,IF(OR(AND(AUTOEVENTO="Manual",$M23=1),$M23&gt;(ROW(PLE.lastrow)-ROW(PLE.firstrow))),0,IF(OFFSET(PLE!$G$14,$M23,GI$13)="",10^12,OFFSET(PLE!$G$14,$M23,GI$13))))</f>
        <v>1000000000000</v>
      </c>
      <c r="GJ23" s="212">
        <f ca="1">IF($D23&lt;&gt;"Serviço",0,IF(OR(AND(AUTOEVENTO="Manual",$M23=1),$M23&gt;(ROW(PLE.lastrow)-ROW(PLE.firstrow))),0,IF(OFFSET(PLE!$G$14,$M23,GJ$13)="",10^12,OFFSET(PLE!$G$14,$M23,GJ$13))))</f>
        <v>1000000000000</v>
      </c>
      <c r="GK23" s="212">
        <f ca="1">IF($D23&lt;&gt;"Serviço",0,IF(OR(AND(AUTOEVENTO="Manual",$M23=1),$M23&gt;(ROW(PLE.lastrow)-ROW(PLE.firstrow))),0,IF(OFFSET(PLE!$G$14,$M23,GK$13)="",10^12,OFFSET(PLE!$G$14,$M23,GK$13))))</f>
        <v>1000000000000</v>
      </c>
      <c r="GL23" s="212">
        <f ca="1">IF($D23&lt;&gt;"Serviço",0,IF(OR(AND(AUTOEVENTO="Manual",$M23=1),$M23&gt;(ROW(PLE.lastrow)-ROW(PLE.firstrow))),0,IF(OFFSET(PLE!$G$14,$M23,GL$13)="",10^12,OFFSET(PLE!$G$14,$M23,GL$13))))</f>
        <v>1000000000000</v>
      </c>
      <c r="GM23" s="212">
        <f ca="1">IF($D23&lt;&gt;"Serviço",0,IF(OR(AND(AUTOEVENTO="Manual",$M23=1),$M23&gt;(ROW(PLE.lastrow)-ROW(PLE.firstrow))),0,IF(OFFSET(PLE!$G$14,$M23,GM$13)="",10^12,OFFSET(PLE!$G$14,$M23,GM$13))))</f>
        <v>1000000000000</v>
      </c>
      <c r="GN23" s="212">
        <f ca="1">IF($D23&lt;&gt;"Serviço",0,IF(OR(AND(AUTOEVENTO="Manual",$M23=1),$M23&gt;(ROW(PLE.lastrow)-ROW(PLE.firstrow))),0,IF(OFFSET(PLE!$G$14,$M23,GN$13)="",10^12,OFFSET(PLE!$G$14,$M23,GN$13))))</f>
        <v>1000000000000</v>
      </c>
      <c r="GO23" s="212">
        <f ca="1">IF($D23&lt;&gt;"Serviço",0,IF(OR(AND(AUTOEVENTO="Manual",$M23=1),$M23&gt;(ROW(PLE.lastrow)-ROW(PLE.firstrow))),0,IF(OFFSET(PLE!$G$14,$M23,GO$13)="",10^12,OFFSET(PLE!$G$14,$M23,GO$13))))</f>
        <v>1000000000000</v>
      </c>
      <c r="GP23" s="212">
        <f ca="1">IF($D23&lt;&gt;"Serviço",0,IF(OR(AND(AUTOEVENTO="Manual",$M23=1),$M23&gt;(ROW(PLE.lastrow)-ROW(PLE.firstrow))),0,IF(OFFSET(PLE!$G$14,$M23,GP$13)="",10^12,OFFSET(PLE!$G$14,$M23,GP$13))))</f>
        <v>1000000000000</v>
      </c>
      <c r="GQ23" s="212">
        <f ca="1">IF($D23&lt;&gt;"Serviço",0,IF(OR(AND(AUTOEVENTO="Manual",$M23=1),$M23&gt;(ROW(PLE.lastrow)-ROW(PLE.firstrow))),0,IF(OFFSET(PLE!$G$14,$M23,GQ$13)="",10^12,OFFSET(PLE!$G$14,$M23,GQ$13))))</f>
        <v>1000000000000</v>
      </c>
      <c r="GR23" s="212">
        <f ca="1">IF($D23&lt;&gt;"Serviço",0,IF(OR(AND(AUTOEVENTO="Manual",$M23=1),$M23&gt;(ROW(PLE.lastrow)-ROW(PLE.firstrow))),0,IF(OFFSET(PLE!$G$14,$M23,GR$13)="",10^12,OFFSET(PLE!$G$14,$M23,GR$13))))</f>
        <v>1000000000000</v>
      </c>
      <c r="GS23" s="212">
        <f ca="1">IF($D23&lt;&gt;"Serviço",0,IF(OR(AND(AUTOEVENTO="Manual",$M23=1),$M23&gt;(ROW(PLE.lastrow)-ROW(PLE.firstrow))),0,IF(OFFSET(PLE!$G$14,$M23,GS$13)="",10^12,OFFSET(PLE!$G$14,$M23,GS$13))))</f>
        <v>1000000000000</v>
      </c>
      <c r="GT23" s="212">
        <f ca="1">IF($D23&lt;&gt;"Serviço",0,IF(OR(AND(AUTOEVENTO="Manual",$M23=1),$M23&gt;(ROW(PLE.lastrow)-ROW(PLE.firstrow))),0,IF(OFFSET(PLE!$G$14,$M23,GT$13)="",10^12,OFFSET(PLE!$G$14,$M23,GT$13))))</f>
        <v>1000000000000</v>
      </c>
      <c r="GU23" s="212">
        <f ca="1">IF($D23&lt;&gt;"Serviço",0,IF(OR(AND(AUTOEVENTO="Manual",$M23=1),$M23&gt;(ROW(PLE.lastrow)-ROW(PLE.firstrow))),0,IF(OFFSET(PLE!$G$14,$M23,GU$13)="",10^12,OFFSET(PLE!$G$14,$M23,GU$13))))</f>
        <v>1000000000000</v>
      </c>
      <c r="GV23" s="212">
        <f ca="1">IF($D23&lt;&gt;"Serviço",0,IF(OR(AND(AUTOEVENTO="Manual",$M23=1),$M23&gt;(ROW(PLE.lastrow)-ROW(PLE.firstrow))),0,IF(OFFSET(PLE!$G$14,$M23,GV$13)="",10^12,OFFSET(PLE!$G$14,$M23,GV$13))))</f>
        <v>1000000000000</v>
      </c>
      <c r="GW23" s="212">
        <f ca="1">IF($D23&lt;&gt;"Serviço",0,IF(OR(AND(AUTOEVENTO="Manual",$M23=1),$M23&gt;(ROW(PLE.lastrow)-ROW(PLE.firstrow))),0,IF(OFFSET(PLE!$G$14,$M23,GW$13)="",10^12,OFFSET(PLE!$G$14,$M23,GW$13))))</f>
        <v>1000000000000</v>
      </c>
      <c r="GX23" s="212">
        <f ca="1">IF($D23&lt;&gt;"Serviço",0,IF(OR(AND(AUTOEVENTO="Manual",$M23=1),$M23&gt;(ROW(PLE.lastrow)-ROW(PLE.firstrow))),0,IF(OFFSET(PLE!$G$14,$M23,GX$13)="",10^12,OFFSET(PLE!$G$14,$M23,GX$13))))</f>
        <v>1000000000000</v>
      </c>
      <c r="GY23" s="212">
        <f ca="1">IF($D23&lt;&gt;"Serviço",0,IF(OR(AND(AUTOEVENTO="Manual",$M23=1),$M23&gt;(ROW(PLE.lastrow)-ROW(PLE.firstrow))),0,IF(OFFSET(PLE!$G$14,$M23,GY$13)="",10^12,OFFSET(PLE!$G$14,$M23,GY$13))))</f>
        <v>1000000000000</v>
      </c>
      <c r="GZ23" s="212">
        <f ca="1">IF($D23&lt;&gt;"Serviço",0,IF(OR(AND(AUTOEVENTO="Manual",$M23=1),$M23&gt;(ROW(PLE.lastrow)-ROW(PLE.firstrow))),0,IF(OFFSET(PLE!$G$14,$M23,GZ$13)="",10^12,OFFSET(PLE!$G$14,$M23,GZ$13))))</f>
        <v>1000000000000</v>
      </c>
      <c r="HA23" s="212">
        <f ca="1">IF($D23&lt;&gt;"Serviço",0,IF(OR(AND(AUTOEVENTO="Manual",$M23=1),$M23&gt;(ROW(PLE.lastrow)-ROW(PLE.firstrow))),0,IF(OFFSET(PLE!$G$14,$M23,HA$13)="",10^12,OFFSET(PLE!$G$14,$M23,HA$13))))</f>
        <v>1000000000000</v>
      </c>
      <c r="HB23" s="212">
        <f ca="1">IF($D23&lt;&gt;"Serviço",0,IF(OR(AND(AUTOEVENTO="Manual",$M23=1),$M23&gt;(ROW(PLE.lastrow)-ROW(PLE.firstrow))),0,IF(OFFSET(PLE!$G$14,$M23,HB$13)="",10^12,OFFSET(PLE!$G$14,$M23,HB$13))))</f>
        <v>1000000000000</v>
      </c>
      <c r="HC23" s="212">
        <f ca="1">IF($D23&lt;&gt;"Serviço",0,IF(OR(AND(AUTOEVENTO="Manual",$M23=1),$M23&gt;(ROW(PLE.lastrow)-ROW(PLE.firstrow))),0,IF(OFFSET(PLE!$G$14,$M23,HC$13)="",10^12,OFFSET(PLE!$G$14,$M23,HC$13))))</f>
        <v>1000000000000</v>
      </c>
      <c r="HD23" s="212">
        <f ca="1">IF($D23&lt;&gt;"Serviço",0,IF(OR(AND(AUTOEVENTO="Manual",$M23=1),$M23&gt;(ROW(PLE.lastrow)-ROW(PLE.firstrow))),0,IF(OFFSET(PLE!$G$14,$M23,HD$13)="",10^12,OFFSET(PLE!$G$14,$M23,HD$13))))</f>
        <v>1000000000000</v>
      </c>
      <c r="HE23" s="212">
        <f ca="1">IF($D23&lt;&gt;"Serviço",0,IF(OR(AND(AUTOEVENTO="Manual",$M23=1),$M23&gt;(ROW(PLE.lastrow)-ROW(PLE.firstrow))),0,IF(OFFSET(PLE!$G$14,$M23,HE$13)="",10^12,OFFSET(PLE!$G$14,$M23,HE$13))))</f>
        <v>1000000000000</v>
      </c>
      <c r="HF23" s="212">
        <f ca="1">IF($D23&lt;&gt;"Serviço",0,IF(OR(AND(AUTOEVENTO="Manual",$M23=1),$M23&gt;(ROW(PLE.lastrow)-ROW(PLE.firstrow))),0,IF(OFFSET(PLE!$G$14,$M23,HF$13)="",10^12,OFFSET(PLE!$G$14,$M23,HF$13))))</f>
        <v>1000000000000</v>
      </c>
      <c r="HG23" s="212">
        <f ca="1">IF($D23&lt;&gt;"Serviço",0,IF(OR(AND(AUTOEVENTO="Manual",$M23=1),$M23&gt;(ROW(PLE.lastrow)-ROW(PLE.firstrow))),0,IF(OFFSET(PLE!$G$14,$M23,HG$13)="",10^12,OFFSET(PLE!$G$14,$M23,HG$13))))</f>
        <v>1000000000000</v>
      </c>
      <c r="HH23" s="212">
        <f ca="1">IF($D23&lt;&gt;"Serviço",0,IF(OR(AND(AUTOEVENTO="Manual",$M23=1),$M23&gt;(ROW(PLE.lastrow)-ROW(PLE.firstrow))),0,IF(OFFSET(PLE!$G$14,$M23,HH$13)="",10^12,OFFSET(PLE!$G$14,$M23,HH$13))))</f>
        <v>1000000000000</v>
      </c>
      <c r="HI23" s="212">
        <f ca="1">IF($D23&lt;&gt;"Serviço",0,IF(OR(AND(AUTOEVENTO="Manual",$M23=1),$M23&gt;(ROW(PLE.lastrow)-ROW(PLE.firstrow))),0,IF(OFFSET(PLE!$G$14,$M23,HI$13)="",10^12,OFFSET(PLE!$G$14,$M23,HI$13))))</f>
        <v>1000000000000</v>
      </c>
      <c r="HJ23" s="212">
        <f ca="1">IF($D23&lt;&gt;"Serviço",0,IF(OR(AND(AUTOEVENTO="Manual",$M23=1),$M23&gt;(ROW(PLE.lastrow)-ROW(PLE.firstrow))),0,IF(OFFSET(PLE!$G$14,$M23,HJ$13)="",10^12,OFFSET(PLE!$G$14,$M23,HJ$13))))</f>
        <v>1000000000000</v>
      </c>
      <c r="HK23" s="212">
        <f ca="1">IF($D23&lt;&gt;"Serviço",0,IF(OR(AND(AUTOEVENTO="Manual",$M23=1),$M23&gt;(ROW(PLE.lastrow)-ROW(PLE.firstrow))),0,IF(OFFSET(PLE!$G$14,$M23,HK$13)="",10^12,OFFSET(PLE!$G$14,$M23,HK$13))))</f>
        <v>1000000000000</v>
      </c>
    </row>
    <row r="24" spans="1:219" ht="153" x14ac:dyDescent="0.2">
      <c r="A24" s="9" t="str">
        <f t="shared" ca="1" si="9"/>
        <v>7</v>
      </c>
      <c r="B24" s="9" t="str">
        <f ca="1">OFFSET(ORÇAMENTO!C$15,ROW(B24)-ROW(B$15),0)</f>
        <v>S</v>
      </c>
      <c r="C24" s="9" t="str">
        <f ca="1">OFFSET(ORÇAMENTO!L$15,ROW(C24)-ROW(C$15),0)</f>
        <v>F</v>
      </c>
      <c r="D24" s="141" t="str">
        <f ca="1">OFFSET(ORÇAMENTO!N$15,ROW(D24)-ROW(D$15),0)</f>
        <v>Serviço</v>
      </c>
      <c r="E24" s="201" t="str">
        <f ca="1">OFFSET(ORÇAMENTO!O$15,ROW(E24)-ROW(E$15),0)</f>
        <v>1.3.2.</v>
      </c>
      <c r="F24" s="202" t="str">
        <f ca="1">OFFSET(ORÇAMENTO!R$15,ROW(F24)-ROW(F$15),0)</f>
        <v>Transporte com caminhão basculante de 10 m³ - rodovia em leito natural</v>
      </c>
      <c r="G24" s="203" t="str">
        <f ca="1">IF($D24&lt;&gt;"Serviço","",OFFSET(ORÇAMENTO!S$15,ROW(G24)-ROW(G$15),0))</f>
        <v>TXKM</v>
      </c>
      <c r="H24" s="147">
        <f ca="1">IF($D24&lt;&gt;"Serviço",0,IF(ACOMPANHAMENTO="BM",ROUND(OFFSET(ORÇAMENTO!AJ$15,ROW(H24)-ROW(H$15),0),15-13*ORÇAMENTO!$AF$7),SUMPRODUCT(($Q$12:$BO$12&lt;&gt;"")*ROUND($Q24:$BO24,15-13*ORÇAMENTO!$AF$7))))</f>
        <v>2959.46</v>
      </c>
      <c r="I24" s="646" t="s">
        <v>497</v>
      </c>
      <c r="K24" s="204" t="s">
        <v>455</v>
      </c>
      <c r="L24" s="205" t="s">
        <v>257</v>
      </c>
      <c r="M24" s="206">
        <f ca="1">IF($D24&lt;&gt;"Serviço","",IF(AUTOEVENTO="manual",$A24,IF(ISERROR(MATCH($A24,$A$15:OFFSET($A24,-1,0),0)),MAX($M$15:OFFSET(M24,-1,0))+1,INDEX($M$15:OFFSET(M24,-1,0),MATCH($A24,$A$15:OFFSET($A24,-1,0),0)))))</f>
        <v>4</v>
      </c>
      <c r="N24" s="207" t="str">
        <f ca="1">IF($D24&lt;&gt;"Serviço","",IF(AUTOEVENTO="Manual",IF($A24=0,"&lt;-- defina o número do agrupador",OFFSET(EVENTOS!$D$14,$A24,0)),OFFSET($F$15,$A24,0)))</f>
        <v>PAVIMENTAÇÃO DE VIAS</v>
      </c>
      <c r="O24" s="208"/>
      <c r="Q24" s="208">
        <f>Q23*0.06*1.6*10</f>
        <v>1178.5440000000001</v>
      </c>
      <c r="R24" s="208">
        <f>R23*0.06*1.6*9.1</f>
        <v>1535.5616640000001</v>
      </c>
      <c r="S24" s="208">
        <f>S23*0.06*1.6*4.71</f>
        <v>245.35558080000001</v>
      </c>
      <c r="T24" s="208"/>
      <c r="U24" s="208"/>
      <c r="V24" s="208"/>
      <c r="W24" s="208"/>
      <c r="X24" s="209"/>
      <c r="Y24" s="209"/>
      <c r="Z24" s="210"/>
      <c r="AA24" s="209"/>
      <c r="AB24" s="209"/>
      <c r="AC24" s="209"/>
      <c r="AD24" s="209"/>
      <c r="AE24" s="209"/>
      <c r="AF24" s="209"/>
      <c r="AG24" s="209"/>
      <c r="AH24" s="210"/>
      <c r="AI24" s="209"/>
      <c r="AJ24" s="209"/>
      <c r="AK24" s="209"/>
      <c r="AL24" s="209"/>
      <c r="AM24" s="209"/>
      <c r="AN24" s="209"/>
      <c r="AO24" s="209"/>
      <c r="AP24" s="210"/>
      <c r="AQ24" s="209"/>
      <c r="AR24" s="209"/>
      <c r="AS24" s="209"/>
      <c r="AT24" s="209"/>
      <c r="AU24" s="209"/>
      <c r="AV24" s="209"/>
      <c r="AW24" s="209"/>
      <c r="AX24" s="210"/>
      <c r="AY24" s="209"/>
      <c r="AZ24" s="209"/>
      <c r="BA24" s="209"/>
      <c r="BB24" s="209"/>
      <c r="BC24" s="209"/>
      <c r="BD24" s="209"/>
      <c r="BE24" s="209"/>
      <c r="BF24" s="210"/>
      <c r="BG24" s="209"/>
      <c r="BH24" s="209"/>
      <c r="BI24" s="209"/>
      <c r="BJ24" s="209"/>
      <c r="BK24" s="209"/>
      <c r="BL24" s="209"/>
      <c r="BM24" s="209"/>
      <c r="BN24" s="210"/>
      <c r="BP24" s="627">
        <f ca="1">IF(AND($D24="Serviço",BP$12&lt;&gt;0,$H24&gt;0,OR(AUTOEVENTO&lt;&gt;"manual",$M24&lt;&gt;1)),ROUND(OFFSET($P24,0,BP$13),15-13*ORÇAMENTO!$AF$7)/$H24*OFFSET(ORÇAMENTO!$X$15,ROW(BP24)-ROW(BP$15),0),0)</f>
        <v>1708.8802124036063</v>
      </c>
      <c r="BQ24" s="628">
        <f ca="1">IF(AND($D24="Serviço",BQ$12&lt;&gt;0,$H24&gt;0,OR(AUTOEVENTO&lt;&gt;"manual",$M24&lt;&gt;1)),ROUND(OFFSET($P24,0,BQ$13),15-13*ORÇAMENTO!$AF$7)/$H24*OFFSET(ORÇAMENTO!$X$15,ROW(BQ24)-ROW(BQ$15),0),0)</f>
        <v>2226.558367945493</v>
      </c>
      <c r="BR24" s="628">
        <f ca="1">IF(AND($D24="Serviço",BR$12&lt;&gt;0,$H24&gt;0,OR(AUTOEVENTO&lt;&gt;"manual",$M24&lt;&gt;1)),ROUND(OFFSET($P24,0,BR$13),15-13*ORÇAMENTO!$AF$7)/$H24*OFFSET(ORÇAMENTO!$X$15,ROW(BR24)-ROW(BR$15),0),0)</f>
        <v>355.7714196508806</v>
      </c>
      <c r="BS24" s="628">
        <f ca="1">IF(AND($D24="Serviço",BS$12&lt;&gt;0,$H24&gt;0,OR(AUTOEVENTO&lt;&gt;"manual",$M24&lt;&gt;1)),ROUND(OFFSET($P24,0,BS$13),15-13*ORÇAMENTO!$AF$7)/$H24*OFFSET(ORÇAMENTO!$X$15,ROW(BS24)-ROW(BS$15),0),0)</f>
        <v>0</v>
      </c>
      <c r="BT24" s="628">
        <f ca="1">IF(AND($D24="Serviço",BT$12&lt;&gt;0,$H24&gt;0,OR(AUTOEVENTO&lt;&gt;"manual",$M24&lt;&gt;1)),ROUND(OFFSET($P24,0,BT$13),15-13*ORÇAMENTO!$AF$7)/$H24*OFFSET(ORÇAMENTO!$X$15,ROW(BT24)-ROW(BT$15),0),0)</f>
        <v>0</v>
      </c>
      <c r="BU24" s="628">
        <f ca="1">IF(AND($D24="Serviço",BU$12&lt;&gt;0,$H24&gt;0,OR(AUTOEVENTO&lt;&gt;"manual",$M24&lt;&gt;1)),ROUND(OFFSET($P24,0,BU$13),15-13*ORÇAMENTO!$AF$7)/$H24*OFFSET(ORÇAMENTO!$X$15,ROW(BU24)-ROW(BU$15),0),0)</f>
        <v>0</v>
      </c>
      <c r="BV24" s="628">
        <f ca="1">IF(AND($D24="Serviço",BV$12&lt;&gt;0,$H24&gt;0,OR(AUTOEVENTO&lt;&gt;"manual",$M24&lt;&gt;1)),ROUND(OFFSET($P24,0,BV$13),15-13*ORÇAMENTO!$AF$7)/$H24*OFFSET(ORÇAMENTO!$X$15,ROW(BV24)-ROW(BV$15),0),0)</f>
        <v>0</v>
      </c>
      <c r="BW24" s="628">
        <f ca="1">IF(AND($D24="Serviço",BW$12&lt;&gt;0,$H24&gt;0,OR(AUTOEVENTO&lt;&gt;"manual",$M24&lt;&gt;1)),ROUND(OFFSET($P24,0,BW$13),15-13*ORÇAMENTO!$AF$7)/$H24*OFFSET(ORÇAMENTO!$X$15,ROW(BW24)-ROW(BW$15),0),0)</f>
        <v>0</v>
      </c>
      <c r="BX24" s="628">
        <f ca="1">IF(AND($D24="Serviço",BX$12&lt;&gt;0,$H24&gt;0,OR(AUTOEVENTO&lt;&gt;"manual",$M24&lt;&gt;1)),ROUND(OFFSET($P24,0,BX$13),15-13*ORÇAMENTO!$AF$7)/$H24*OFFSET(ORÇAMENTO!$X$15,ROW(BX24)-ROW(BX$15),0),0)</f>
        <v>0</v>
      </c>
      <c r="BY24" s="629">
        <f ca="1">IF(AND($D24="Serviço",BY$12&lt;&gt;0,$H24&gt;0,OR(AUTOEVENTO&lt;&gt;"manual",$M24&lt;&gt;1)),ROUND(OFFSET($P24,0,BY$13),15-13*ORÇAMENTO!$AF$7)/$H24*OFFSET(ORÇAMENTO!$X$15,ROW(BY24)-ROW(BY$15),0),0)</f>
        <v>0</v>
      </c>
      <c r="BZ24" s="628">
        <f ca="1">IF(AND($D24="Serviço",BZ$12&lt;&gt;0,$H24&gt;0,OR(AUTOEVENTO&lt;&gt;"manual",$M24&lt;&gt;1)),ROUND(OFFSET($P24,0,BZ$13),15-13*ORÇAMENTO!$AF$7)/$H24*OFFSET(ORÇAMENTO!$X$15,ROW(BZ24)-ROW(BZ$15),0),0)</f>
        <v>0</v>
      </c>
      <c r="CA24" s="628">
        <f ca="1">IF(AND($D24="Serviço",CA$12&lt;&gt;0,$H24&gt;0,OR(AUTOEVENTO&lt;&gt;"manual",$M24&lt;&gt;1)),ROUND(OFFSET($P24,0,CA$13),15-13*ORÇAMENTO!$AF$7)/$H24*OFFSET(ORÇAMENTO!$X$15,ROW(CA24)-ROW(CA$15),0),0)</f>
        <v>0</v>
      </c>
      <c r="CB24" s="628">
        <f ca="1">IF(AND($D24="Serviço",CB$12&lt;&gt;0,$H24&gt;0,OR(AUTOEVENTO&lt;&gt;"manual",$M24&lt;&gt;1)),ROUND(OFFSET($P24,0,CB$13),15-13*ORÇAMENTO!$AF$7)/$H24*OFFSET(ORÇAMENTO!$X$15,ROW(CB24)-ROW(CB$15),0),0)</f>
        <v>0</v>
      </c>
      <c r="CC24" s="628">
        <f ca="1">IF(AND($D24="Serviço",CC$12&lt;&gt;0,$H24&gt;0,OR(AUTOEVENTO&lt;&gt;"manual",$M24&lt;&gt;1)),ROUND(OFFSET($P24,0,CC$13),15-13*ORÇAMENTO!$AF$7)/$H24*OFFSET(ORÇAMENTO!$X$15,ROW(CC24)-ROW(CC$15),0),0)</f>
        <v>0</v>
      </c>
      <c r="CD24" s="628">
        <f ca="1">IF(AND($D24="Serviço",CD$12&lt;&gt;0,$H24&gt;0,OR(AUTOEVENTO&lt;&gt;"manual",$M24&lt;&gt;1)),ROUND(OFFSET($P24,0,CD$13),15-13*ORÇAMENTO!$AF$7)/$H24*OFFSET(ORÇAMENTO!$X$15,ROW(CD24)-ROW(CD$15),0),0)</f>
        <v>0</v>
      </c>
      <c r="CE24" s="628">
        <f ca="1">IF(AND($D24="Serviço",CE$12&lt;&gt;0,$H24&gt;0,OR(AUTOEVENTO&lt;&gt;"manual",$M24&lt;&gt;1)),ROUND(OFFSET($P24,0,CE$13),15-13*ORÇAMENTO!$AF$7)/$H24*OFFSET(ORÇAMENTO!$X$15,ROW(CE24)-ROW(CE$15),0),0)</f>
        <v>0</v>
      </c>
      <c r="CF24" s="628">
        <f ca="1">IF(AND($D24="Serviço",CF$12&lt;&gt;0,$H24&gt;0,OR(AUTOEVENTO&lt;&gt;"manual",$M24&lt;&gt;1)),ROUND(OFFSET($P24,0,CF$13),15-13*ORÇAMENTO!$AF$7)/$H24*OFFSET(ORÇAMENTO!$X$15,ROW(CF24)-ROW(CF$15),0),0)</f>
        <v>0</v>
      </c>
      <c r="CG24" s="629">
        <f ca="1">IF(AND($D24="Serviço",CG$12&lt;&gt;0,$H24&gt;0,OR(AUTOEVENTO&lt;&gt;"manual",$M24&lt;&gt;1)),ROUND(OFFSET($P24,0,CG$13),15-13*ORÇAMENTO!$AF$7)/$H24*OFFSET(ORÇAMENTO!$X$15,ROW(CG24)-ROW(CG$15),0),0)</f>
        <v>0</v>
      </c>
      <c r="CH24" s="628">
        <f ca="1">IF(AND($D24="Serviço",CH$12&lt;&gt;0,$H24&gt;0,OR(AUTOEVENTO&lt;&gt;"manual",$M24&lt;&gt;1)),ROUND(OFFSET($P24,0,CH$13),15-13*ORÇAMENTO!$AF$7)/$H24*OFFSET(ORÇAMENTO!$X$15,ROW(CH24)-ROW(CH$15),0),0)</f>
        <v>0</v>
      </c>
      <c r="CI24" s="628">
        <f ca="1">IF(AND($D24="Serviço",CI$12&lt;&gt;0,$H24&gt;0,OR(AUTOEVENTO&lt;&gt;"manual",$M24&lt;&gt;1)),ROUND(OFFSET($P24,0,CI$13),15-13*ORÇAMENTO!$AF$7)/$H24*OFFSET(ORÇAMENTO!$X$15,ROW(CI24)-ROW(CI$15),0),0)</f>
        <v>0</v>
      </c>
      <c r="CJ24" s="628">
        <f ca="1">IF(AND($D24="Serviço",CJ$12&lt;&gt;0,$H24&gt;0,OR(AUTOEVENTO&lt;&gt;"manual",$M24&lt;&gt;1)),ROUND(OFFSET($P24,0,CJ$13),15-13*ORÇAMENTO!$AF$7)/$H24*OFFSET(ORÇAMENTO!$X$15,ROW(CJ24)-ROW(CJ$15),0),0)</f>
        <v>0</v>
      </c>
      <c r="CK24" s="628">
        <f ca="1">IF(AND($D24="Serviço",CK$12&lt;&gt;0,$H24&gt;0,OR(AUTOEVENTO&lt;&gt;"manual",$M24&lt;&gt;1)),ROUND(OFFSET($P24,0,CK$13),15-13*ORÇAMENTO!$AF$7)/$H24*OFFSET(ORÇAMENTO!$X$15,ROW(CK24)-ROW(CK$15),0),0)</f>
        <v>0</v>
      </c>
      <c r="CL24" s="628">
        <f ca="1">IF(AND($D24="Serviço",CL$12&lt;&gt;0,$H24&gt;0,OR(AUTOEVENTO&lt;&gt;"manual",$M24&lt;&gt;1)),ROUND(OFFSET($P24,0,CL$13),15-13*ORÇAMENTO!$AF$7)/$H24*OFFSET(ORÇAMENTO!$X$15,ROW(CL24)-ROW(CL$15),0),0)</f>
        <v>0</v>
      </c>
      <c r="CM24" s="628">
        <f ca="1">IF(AND($D24="Serviço",CM$12&lt;&gt;0,$H24&gt;0,OR(AUTOEVENTO&lt;&gt;"manual",$M24&lt;&gt;1)),ROUND(OFFSET($P24,0,CM$13),15-13*ORÇAMENTO!$AF$7)/$H24*OFFSET(ORÇAMENTO!$X$15,ROW(CM24)-ROW(CM$15),0),0)</f>
        <v>0</v>
      </c>
      <c r="CN24" s="628">
        <f ca="1">IF(AND($D24="Serviço",CN$12&lt;&gt;0,$H24&gt;0,OR(AUTOEVENTO&lt;&gt;"manual",$M24&lt;&gt;1)),ROUND(OFFSET($P24,0,CN$13),15-13*ORÇAMENTO!$AF$7)/$H24*OFFSET(ORÇAMENTO!$X$15,ROW(CN24)-ROW(CN$15),0),0)</f>
        <v>0</v>
      </c>
      <c r="CO24" s="629">
        <f ca="1">IF(AND($D24="Serviço",CO$12&lt;&gt;0,$H24&gt;0,OR(AUTOEVENTO&lt;&gt;"manual",$M24&lt;&gt;1)),ROUND(OFFSET($P24,0,CO$13),15-13*ORÇAMENTO!$AF$7)/$H24*OFFSET(ORÇAMENTO!$X$15,ROW(CO24)-ROW(CO$15),0),0)</f>
        <v>0</v>
      </c>
      <c r="CP24" s="628">
        <f ca="1">IF(AND($D24="Serviço",CP$12&lt;&gt;0,$H24&gt;0,OR(AUTOEVENTO&lt;&gt;"manual",$M24&lt;&gt;1)),ROUND(OFFSET($P24,0,CP$13),15-13*ORÇAMENTO!$AF$7)/$H24*OFFSET(ORÇAMENTO!$X$15,ROW(CP24)-ROW(CP$15),0),0)</f>
        <v>0</v>
      </c>
      <c r="CQ24" s="628">
        <f ca="1">IF(AND($D24="Serviço",CQ$12&lt;&gt;0,$H24&gt;0,OR(AUTOEVENTO&lt;&gt;"manual",$M24&lt;&gt;1)),ROUND(OFFSET($P24,0,CQ$13),15-13*ORÇAMENTO!$AF$7)/$H24*OFFSET(ORÇAMENTO!$X$15,ROW(CQ24)-ROW(CQ$15),0),0)</f>
        <v>0</v>
      </c>
      <c r="CR24" s="628">
        <f ca="1">IF(AND($D24="Serviço",CR$12&lt;&gt;0,$H24&gt;0,OR(AUTOEVENTO&lt;&gt;"manual",$M24&lt;&gt;1)),ROUND(OFFSET($P24,0,CR$13),15-13*ORÇAMENTO!$AF$7)/$H24*OFFSET(ORÇAMENTO!$X$15,ROW(CR24)-ROW(CR$15),0),0)</f>
        <v>0</v>
      </c>
      <c r="CS24" s="628">
        <f ca="1">IF(AND($D24="Serviço",CS$12&lt;&gt;0,$H24&gt;0,OR(AUTOEVENTO&lt;&gt;"manual",$M24&lt;&gt;1)),ROUND(OFFSET($P24,0,CS$13),15-13*ORÇAMENTO!$AF$7)/$H24*OFFSET(ORÇAMENTO!$X$15,ROW(CS24)-ROW(CS$15),0),0)</f>
        <v>0</v>
      </c>
      <c r="CT24" s="628">
        <f ca="1">IF(AND($D24="Serviço",CT$12&lt;&gt;0,$H24&gt;0,OR(AUTOEVENTO&lt;&gt;"manual",$M24&lt;&gt;1)),ROUND(OFFSET($P24,0,CT$13),15-13*ORÇAMENTO!$AF$7)/$H24*OFFSET(ORÇAMENTO!$X$15,ROW(CT24)-ROW(CT$15),0),0)</f>
        <v>0</v>
      </c>
      <c r="CU24" s="628">
        <f ca="1">IF(AND($D24="Serviço",CU$12&lt;&gt;0,$H24&gt;0,OR(AUTOEVENTO&lt;&gt;"manual",$M24&lt;&gt;1)),ROUND(OFFSET($P24,0,CU$13),15-13*ORÇAMENTO!$AF$7)/$H24*OFFSET(ORÇAMENTO!$X$15,ROW(CU24)-ROW(CU$15),0),0)</f>
        <v>0</v>
      </c>
      <c r="CV24" s="628">
        <f ca="1">IF(AND($D24="Serviço",CV$12&lt;&gt;0,$H24&gt;0,OR(AUTOEVENTO&lt;&gt;"manual",$M24&lt;&gt;1)),ROUND(OFFSET($P24,0,CV$13),15-13*ORÇAMENTO!$AF$7)/$H24*OFFSET(ORÇAMENTO!$X$15,ROW(CV24)-ROW(CV$15),0),0)</f>
        <v>0</v>
      </c>
      <c r="CW24" s="629">
        <f ca="1">IF(AND($D24="Serviço",CW$12&lt;&gt;0,$H24&gt;0,OR(AUTOEVENTO&lt;&gt;"manual",$M24&lt;&gt;1)),ROUND(OFFSET($P24,0,CW$13),15-13*ORÇAMENTO!$AF$7)/$H24*OFFSET(ORÇAMENTO!$X$15,ROW(CW24)-ROW(CW$15),0),0)</f>
        <v>0</v>
      </c>
      <c r="CX24" s="628">
        <f ca="1">IF(AND($D24="Serviço",CX$12&lt;&gt;0,$H24&gt;0,OR(AUTOEVENTO&lt;&gt;"manual",$M24&lt;&gt;1)),ROUND(OFFSET($P24,0,CX$13),15-13*ORÇAMENTO!$AF$7)/$H24*OFFSET(ORÇAMENTO!$X$15,ROW(CX24)-ROW(CX$15),0),0)</f>
        <v>0</v>
      </c>
      <c r="CY24" s="628">
        <f ca="1">IF(AND($D24="Serviço",CY$12&lt;&gt;0,$H24&gt;0,OR(AUTOEVENTO&lt;&gt;"manual",$M24&lt;&gt;1)),ROUND(OFFSET($P24,0,CY$13),15-13*ORÇAMENTO!$AF$7)/$H24*OFFSET(ORÇAMENTO!$X$15,ROW(CY24)-ROW(CY$15),0),0)</f>
        <v>0</v>
      </c>
      <c r="CZ24" s="628">
        <f ca="1">IF(AND($D24="Serviço",CZ$12&lt;&gt;0,$H24&gt;0,OR(AUTOEVENTO&lt;&gt;"manual",$M24&lt;&gt;1)),ROUND(OFFSET($P24,0,CZ$13),15-13*ORÇAMENTO!$AF$7)/$H24*OFFSET(ORÇAMENTO!$X$15,ROW(CZ24)-ROW(CZ$15),0),0)</f>
        <v>0</v>
      </c>
      <c r="DA24" s="628">
        <f ca="1">IF(AND($D24="Serviço",DA$12&lt;&gt;0,$H24&gt;0,OR(AUTOEVENTO&lt;&gt;"manual",$M24&lt;&gt;1)),ROUND(OFFSET($P24,0,DA$13),15-13*ORÇAMENTO!$AF$7)/$H24*OFFSET(ORÇAMENTO!$X$15,ROW(DA24)-ROW(DA$15),0),0)</f>
        <v>0</v>
      </c>
      <c r="DB24" s="628">
        <f ca="1">IF(AND($D24="Serviço",DB$12&lt;&gt;0,$H24&gt;0,OR(AUTOEVENTO&lt;&gt;"manual",$M24&lt;&gt;1)),ROUND(OFFSET($P24,0,DB$13),15-13*ORÇAMENTO!$AF$7)/$H24*OFFSET(ORÇAMENTO!$X$15,ROW(DB24)-ROW(DB$15),0),0)</f>
        <v>0</v>
      </c>
      <c r="DC24" s="628">
        <f ca="1">IF(AND($D24="Serviço",DC$12&lt;&gt;0,$H24&gt;0,OR(AUTOEVENTO&lt;&gt;"manual",$M24&lt;&gt;1)),ROUND(OFFSET($P24,0,DC$13),15-13*ORÇAMENTO!$AF$7)/$H24*OFFSET(ORÇAMENTO!$X$15,ROW(DC24)-ROW(DC$15),0),0)</f>
        <v>0</v>
      </c>
      <c r="DD24" s="628">
        <f ca="1">IF(AND($D24="Serviço",DD$12&lt;&gt;0,$H24&gt;0,OR(AUTOEVENTO&lt;&gt;"manual",$M24&lt;&gt;1)),ROUND(OFFSET($P24,0,DD$13),15-13*ORÇAMENTO!$AF$7)/$H24*OFFSET(ORÇAMENTO!$X$15,ROW(DD24)-ROW(DD$15),0),0)</f>
        <v>0</v>
      </c>
      <c r="DE24" s="629">
        <f ca="1">IF(AND($D24="Serviço",DE$12&lt;&gt;0,$H24&gt;0,OR(AUTOEVENTO&lt;&gt;"manual",$M24&lt;&gt;1)),ROUND(OFFSET($P24,0,DE$13),15-13*ORÇAMENTO!$AF$7)/$H24*OFFSET(ORÇAMENTO!$X$15,ROW(DE24)-ROW(DE$15),0),0)</f>
        <v>0</v>
      </c>
      <c r="DF24" s="628">
        <f ca="1">IF(AND($D24="Serviço",DF$12&lt;&gt;0,$H24&gt;0,OR(AUTOEVENTO&lt;&gt;"manual",$M24&lt;&gt;1)),ROUND(OFFSET($P24,0,DF$13),15-13*ORÇAMENTO!$AF$7)/$H24*OFFSET(ORÇAMENTO!$X$15,ROW(DF24)-ROW(DF$15),0),0)</f>
        <v>0</v>
      </c>
      <c r="DG24" s="628">
        <f ca="1">IF(AND($D24="Serviço",DG$12&lt;&gt;0,$H24&gt;0,OR(AUTOEVENTO&lt;&gt;"manual",$M24&lt;&gt;1)),ROUND(OFFSET($P24,0,DG$13),15-13*ORÇAMENTO!$AF$7)/$H24*OFFSET(ORÇAMENTO!$X$15,ROW(DG24)-ROW(DG$15),0),0)</f>
        <v>0</v>
      </c>
      <c r="DH24" s="628">
        <f ca="1">IF(AND($D24="Serviço",DH$12&lt;&gt;0,$H24&gt;0,OR(AUTOEVENTO&lt;&gt;"manual",$M24&lt;&gt;1)),ROUND(OFFSET($P24,0,DH$13),15-13*ORÇAMENTO!$AF$7)/$H24*OFFSET(ORÇAMENTO!$X$15,ROW(DH24)-ROW(DH$15),0),0)</f>
        <v>0</v>
      </c>
      <c r="DI24" s="628">
        <f ca="1">IF(AND($D24="Serviço",DI$12&lt;&gt;0,$H24&gt;0,OR(AUTOEVENTO&lt;&gt;"manual",$M24&lt;&gt;1)),ROUND(OFFSET($P24,0,DI$13),15-13*ORÇAMENTO!$AF$7)/$H24*OFFSET(ORÇAMENTO!$X$15,ROW(DI24)-ROW(DI$15),0),0)</f>
        <v>0</v>
      </c>
      <c r="DJ24" s="628">
        <f ca="1">IF(AND($D24="Serviço",DJ$12&lt;&gt;0,$H24&gt;0,OR(AUTOEVENTO&lt;&gt;"manual",$M24&lt;&gt;1)),ROUND(OFFSET($P24,0,DJ$13),15-13*ORÇAMENTO!$AF$7)/$H24*OFFSET(ORÇAMENTO!$X$15,ROW(DJ24)-ROW(DJ$15),0),0)</f>
        <v>0</v>
      </c>
      <c r="DK24" s="628">
        <f ca="1">IF(AND($D24="Serviço",DK$12&lt;&gt;0,$H24&gt;0,OR(AUTOEVENTO&lt;&gt;"manual",$M24&lt;&gt;1)),ROUND(OFFSET($P24,0,DK$13),15-13*ORÇAMENTO!$AF$7)/$H24*OFFSET(ORÇAMENTO!$X$15,ROW(DK24)-ROW(DK$15),0),0)</f>
        <v>0</v>
      </c>
      <c r="DL24" s="628">
        <f ca="1">IF(AND($D24="Serviço",DL$12&lt;&gt;0,$H24&gt;0,OR(AUTOEVENTO&lt;&gt;"manual",$M24&lt;&gt;1)),ROUND(OFFSET($P24,0,DL$13),15-13*ORÇAMENTO!$AF$7)/$H24*OFFSET(ORÇAMENTO!$X$15,ROW(DL24)-ROW(DL$15),0),0)</f>
        <v>0</v>
      </c>
      <c r="DM24" s="629">
        <f ca="1">IF(AND($D24="Serviço",DM$12&lt;&gt;0,$H24&gt;0,OR(AUTOEVENTO&lt;&gt;"manual",$M24&lt;&gt;1)),ROUND(OFFSET($P24,0,DM$13),15-13*ORÇAMENTO!$AF$7)/$H24*OFFSET(ORÇAMENTO!$X$15,ROW(DM24)-ROW(DM$15),0),0)</f>
        <v>0</v>
      </c>
      <c r="DO24" s="211">
        <f ca="1">IF($D24&lt;&gt;"Serviço",0,IF(AND(AUTOEVENTO="Manual",$M24=1),0,IF(OFFSET(CRONOPLE!$F$14,$M24,DO$13)="",10^12,OFFSET(CRONOPLE!$F$14,$M24,DO$13))))</f>
        <v>1</v>
      </c>
      <c r="DP24" s="211">
        <f ca="1">IF($D24&lt;&gt;"Serviço",0,IF(AND(AUTOEVENTO="Manual",$M24=1),0,IF(OFFSET(CRONOPLE!$F$14,$M24,DP$13)="",10^12,OFFSET(CRONOPLE!$F$14,$M24,DP$13))))</f>
        <v>2</v>
      </c>
      <c r="DQ24" s="211">
        <f ca="1">IF($D24&lt;&gt;"Serviço",0,IF(AND(AUTOEVENTO="Manual",$M24=1),0,IF(OFFSET(CRONOPLE!$F$14,$M24,DQ$13)="",10^12,OFFSET(CRONOPLE!$F$14,$M24,DQ$13))))</f>
        <v>3</v>
      </c>
      <c r="DR24" s="211">
        <f ca="1">IF($D24&lt;&gt;"Serviço",0,IF(AND(AUTOEVENTO="Manual",$M24=1),0,IF(OFFSET(CRONOPLE!$F$14,$M24,DR$13)="",10^12,OFFSET(CRONOPLE!$F$14,$M24,DR$13))))</f>
        <v>4</v>
      </c>
      <c r="DS24" s="211">
        <f ca="1">IF($D24&lt;&gt;"Serviço",0,IF(AND(AUTOEVENTO="Manual",$M24=1),0,IF(OFFSET(CRONOPLE!$F$14,$M24,DS$13)="",10^12,OFFSET(CRONOPLE!$F$14,$M24,DS$13))))</f>
        <v>5</v>
      </c>
      <c r="DT24" s="211">
        <f ca="1">IF($D24&lt;&gt;"Serviço",0,IF(AND(AUTOEVENTO="Manual",$M24=1),0,IF(OFFSET(CRONOPLE!$F$14,$M24,DT$13)="",10^12,OFFSET(CRONOPLE!$F$14,$M24,DT$13))))</f>
        <v>6</v>
      </c>
      <c r="DU24" s="211">
        <f ca="1">IF($D24&lt;&gt;"Serviço",0,IF(AND(AUTOEVENTO="Manual",$M24=1),0,IF(OFFSET(CRONOPLE!$F$14,$M24,DU$13)="",10^12,OFFSET(CRONOPLE!$F$14,$M24,DU$13))))</f>
        <v>1000000000000</v>
      </c>
      <c r="DV24" s="211">
        <f ca="1">IF($D24&lt;&gt;"Serviço",0,IF(AND(AUTOEVENTO="Manual",$M24=1),0,IF(OFFSET(CRONOPLE!$F$14,$M24,DV$13)="",10^12,OFFSET(CRONOPLE!$F$14,$M24,DV$13))))</f>
        <v>1000000000000</v>
      </c>
      <c r="DW24" s="211">
        <f ca="1">IF($D24&lt;&gt;"Serviço",0,IF(AND(AUTOEVENTO="Manual",$M24=1),0,IF(OFFSET(CRONOPLE!$F$14,$M24,DW$13)="",10^12,OFFSET(CRONOPLE!$F$14,$M24,DW$13))))</f>
        <v>1000000000000</v>
      </c>
      <c r="DX24" s="211">
        <f ca="1">IF($D24&lt;&gt;"Serviço",0,IF(AND(AUTOEVENTO="Manual",$M24=1),0,IF(OFFSET(CRONOPLE!$F$14,$M24,DX$13)="",10^12,OFFSET(CRONOPLE!$F$14,$M24,DX$13))))</f>
        <v>1000000000000</v>
      </c>
      <c r="DY24" s="211">
        <f ca="1">IF($D24&lt;&gt;"Serviço",0,IF(AND(AUTOEVENTO="Manual",$M24=1),0,IF(OFFSET(CRONOPLE!$F$14,$M24,DY$13)="",10^12,OFFSET(CRONOPLE!$F$14,$M24,DY$13))))</f>
        <v>1000000000000</v>
      </c>
      <c r="DZ24" s="211">
        <f ca="1">IF($D24&lt;&gt;"Serviço",0,IF(AND(AUTOEVENTO="Manual",$M24=1),0,IF(OFFSET(CRONOPLE!$F$14,$M24,DZ$13)="",10^12,OFFSET(CRONOPLE!$F$14,$M24,DZ$13))))</f>
        <v>1000000000000</v>
      </c>
      <c r="EA24" s="211">
        <f ca="1">IF($D24&lt;&gt;"Serviço",0,IF(AND(AUTOEVENTO="Manual",$M24=1),0,IF(OFFSET(CRONOPLE!$F$14,$M24,EA$13)="",10^12,OFFSET(CRONOPLE!$F$14,$M24,EA$13))))</f>
        <v>1000000000000</v>
      </c>
      <c r="EB24" s="211">
        <f ca="1">IF($D24&lt;&gt;"Serviço",0,IF(AND(AUTOEVENTO="Manual",$M24=1),0,IF(OFFSET(CRONOPLE!$F$14,$M24,EB$13)="",10^12,OFFSET(CRONOPLE!$F$14,$M24,EB$13))))</f>
        <v>1000000000000</v>
      </c>
      <c r="EC24" s="211">
        <f ca="1">IF($D24&lt;&gt;"Serviço",0,IF(AND(AUTOEVENTO="Manual",$M24=1),0,IF(OFFSET(CRONOPLE!$F$14,$M24,EC$13)="",10^12,OFFSET(CRONOPLE!$F$14,$M24,EC$13))))</f>
        <v>1000000000000</v>
      </c>
      <c r="ED24" s="211">
        <f ca="1">IF($D24&lt;&gt;"Serviço",0,IF(AND(AUTOEVENTO="Manual",$M24=1),0,IF(OFFSET(CRONOPLE!$F$14,$M24,ED$13)="",10^12,OFFSET(CRONOPLE!$F$14,$M24,ED$13))))</f>
        <v>1000000000000</v>
      </c>
      <c r="EE24" s="211">
        <f ca="1">IF($D24&lt;&gt;"Serviço",0,IF(AND(AUTOEVENTO="Manual",$M24=1),0,IF(OFFSET(CRONOPLE!$F$14,$M24,EE$13)="",10^12,OFFSET(CRONOPLE!$F$14,$M24,EE$13))))</f>
        <v>1000000000000</v>
      </c>
      <c r="EF24" s="211">
        <f ca="1">IF($D24&lt;&gt;"Serviço",0,IF(AND(AUTOEVENTO="Manual",$M24=1),0,IF(OFFSET(CRONOPLE!$F$14,$M24,EF$13)="",10^12,OFFSET(CRONOPLE!$F$14,$M24,EF$13))))</f>
        <v>1000000000000</v>
      </c>
      <c r="EG24" s="211">
        <f ca="1">IF($D24&lt;&gt;"Serviço",0,IF(AND(AUTOEVENTO="Manual",$M24=1),0,IF(OFFSET(CRONOPLE!$F$14,$M24,EG$13)="",10^12,OFFSET(CRONOPLE!$F$14,$M24,EG$13))))</f>
        <v>1000000000000</v>
      </c>
      <c r="EH24" s="211">
        <f ca="1">IF($D24&lt;&gt;"Serviço",0,IF(AND(AUTOEVENTO="Manual",$M24=1),0,IF(OFFSET(CRONOPLE!$F$14,$M24,EH$13)="",10^12,OFFSET(CRONOPLE!$F$14,$M24,EH$13))))</f>
        <v>1000000000000</v>
      </c>
      <c r="EI24" s="211">
        <f ca="1">IF($D24&lt;&gt;"Serviço",0,IF(AND(AUTOEVENTO="Manual",$M24=1),0,IF(OFFSET(CRONOPLE!$F$14,$M24,EI$13)="",10^12,OFFSET(CRONOPLE!$F$14,$M24,EI$13))))</f>
        <v>1000000000000</v>
      </c>
      <c r="EJ24" s="211">
        <f ca="1">IF($D24&lt;&gt;"Serviço",0,IF(AND(AUTOEVENTO="Manual",$M24=1),0,IF(OFFSET(CRONOPLE!$F$14,$M24,EJ$13)="",10^12,OFFSET(CRONOPLE!$F$14,$M24,EJ$13))))</f>
        <v>1000000000000</v>
      </c>
      <c r="EK24" s="211">
        <f ca="1">IF($D24&lt;&gt;"Serviço",0,IF(AND(AUTOEVENTO="Manual",$M24=1),0,IF(OFFSET(CRONOPLE!$F$14,$M24,EK$13)="",10^12,OFFSET(CRONOPLE!$F$14,$M24,EK$13))))</f>
        <v>1000000000000</v>
      </c>
      <c r="EL24" s="211">
        <f ca="1">IF($D24&lt;&gt;"Serviço",0,IF(AND(AUTOEVENTO="Manual",$M24=1),0,IF(OFFSET(CRONOPLE!$F$14,$M24,EL$13)="",10^12,OFFSET(CRONOPLE!$F$14,$M24,EL$13))))</f>
        <v>1000000000000</v>
      </c>
      <c r="EM24" s="211">
        <f ca="1">IF($D24&lt;&gt;"Serviço",0,IF(AND(AUTOEVENTO="Manual",$M24=1),0,IF(OFFSET(CRONOPLE!$F$14,$M24,EM$13)="",10^12,OFFSET(CRONOPLE!$F$14,$M24,EM$13))))</f>
        <v>1000000000000</v>
      </c>
      <c r="EN24" s="211">
        <f ca="1">IF($D24&lt;&gt;"Serviço",0,IF(AND(AUTOEVENTO="Manual",$M24=1),0,IF(OFFSET(CRONOPLE!$F$14,$M24,EN$13)="",10^12,OFFSET(CRONOPLE!$F$14,$M24,EN$13))))</f>
        <v>1000000000000</v>
      </c>
      <c r="EO24" s="211">
        <f ca="1">IF($D24&lt;&gt;"Serviço",0,IF(AND(AUTOEVENTO="Manual",$M24=1),0,IF(OFFSET(CRONOPLE!$F$14,$M24,EO$13)="",10^12,OFFSET(CRONOPLE!$F$14,$M24,EO$13))))</f>
        <v>1000000000000</v>
      </c>
      <c r="EP24" s="211">
        <f ca="1">IF($D24&lt;&gt;"Serviço",0,IF(AND(AUTOEVENTO="Manual",$M24=1),0,IF(OFFSET(CRONOPLE!$F$14,$M24,EP$13)="",10^12,OFFSET(CRONOPLE!$F$14,$M24,EP$13))))</f>
        <v>1000000000000</v>
      </c>
      <c r="EQ24" s="211">
        <f ca="1">IF($D24&lt;&gt;"Serviço",0,IF(AND(AUTOEVENTO="Manual",$M24=1),0,IF(OFFSET(CRONOPLE!$F$14,$M24,EQ$13)="",10^12,OFFSET(CRONOPLE!$F$14,$M24,EQ$13))))</f>
        <v>1000000000000</v>
      </c>
      <c r="ER24" s="211">
        <f ca="1">IF($D24&lt;&gt;"Serviço",0,IF(AND(AUTOEVENTO="Manual",$M24=1),0,IF(OFFSET(CRONOPLE!$F$14,$M24,ER$13)="",10^12,OFFSET(CRONOPLE!$F$14,$M24,ER$13))))</f>
        <v>1000000000000</v>
      </c>
      <c r="ES24" s="211">
        <f ca="1">IF($D24&lt;&gt;"Serviço",0,IF(AND(AUTOEVENTO="Manual",$M24=1),0,IF(OFFSET(CRONOPLE!$F$14,$M24,ES$13)="",10^12,OFFSET(CRONOPLE!$F$14,$M24,ES$13))))</f>
        <v>1000000000000</v>
      </c>
      <c r="ET24" s="211">
        <f ca="1">IF($D24&lt;&gt;"Serviço",0,IF(AND(AUTOEVENTO="Manual",$M24=1),0,IF(OFFSET(CRONOPLE!$F$14,$M24,ET$13)="",10^12,OFFSET(CRONOPLE!$F$14,$M24,ET$13))))</f>
        <v>1000000000000</v>
      </c>
      <c r="EU24" s="211">
        <f ca="1">IF($D24&lt;&gt;"Serviço",0,IF(AND(AUTOEVENTO="Manual",$M24=1),0,IF(OFFSET(CRONOPLE!$F$14,$M24,EU$13)="",10^12,OFFSET(CRONOPLE!$F$14,$M24,EU$13))))</f>
        <v>1000000000000</v>
      </c>
      <c r="EV24" s="211">
        <f ca="1">IF($D24&lt;&gt;"Serviço",0,IF(AND(AUTOEVENTO="Manual",$M24=1),0,IF(OFFSET(CRONOPLE!$F$14,$M24,EV$13)="",10^12,OFFSET(CRONOPLE!$F$14,$M24,EV$13))))</f>
        <v>1000000000000</v>
      </c>
      <c r="EW24" s="211">
        <f ca="1">IF($D24&lt;&gt;"Serviço",0,IF(AND(AUTOEVENTO="Manual",$M24=1),0,IF(OFFSET(CRONOPLE!$F$14,$M24,EW$13)="",10^12,OFFSET(CRONOPLE!$F$14,$M24,EW$13))))</f>
        <v>1000000000000</v>
      </c>
      <c r="EX24" s="211">
        <f ca="1">IF($D24&lt;&gt;"Serviço",0,IF(AND(AUTOEVENTO="Manual",$M24=1),0,IF(OFFSET(CRONOPLE!$F$14,$M24,EX$13)="",10^12,OFFSET(CRONOPLE!$F$14,$M24,EX$13))))</f>
        <v>1000000000000</v>
      </c>
      <c r="EY24" s="211">
        <f ca="1">IF($D24&lt;&gt;"Serviço",0,IF(AND(AUTOEVENTO="Manual",$M24=1),0,IF(OFFSET(CRONOPLE!$F$14,$M24,EY$13)="",10^12,OFFSET(CRONOPLE!$F$14,$M24,EY$13))))</f>
        <v>1000000000000</v>
      </c>
      <c r="EZ24" s="211">
        <f ca="1">IF($D24&lt;&gt;"Serviço",0,IF(AND(AUTOEVENTO="Manual",$M24=1),0,IF(OFFSET(CRONOPLE!$F$14,$M24,EZ$13)="",10^12,OFFSET(CRONOPLE!$F$14,$M24,EZ$13))))</f>
        <v>1000000000000</v>
      </c>
      <c r="FA24" s="211">
        <f ca="1">IF($D24&lt;&gt;"Serviço",0,IF(AND(AUTOEVENTO="Manual",$M24=1),0,IF(OFFSET(CRONOPLE!$F$14,$M24,FA$13)="",10^12,OFFSET(CRONOPLE!$F$14,$M24,FA$13))))</f>
        <v>1000000000000</v>
      </c>
      <c r="FB24" s="211">
        <f ca="1">IF($D24&lt;&gt;"Serviço",0,IF(AND(AUTOEVENTO="Manual",$M24=1),0,IF(OFFSET(CRONOPLE!$F$14,$M24,FB$13)="",10^12,OFFSET(CRONOPLE!$F$14,$M24,FB$13))))</f>
        <v>1000000000000</v>
      </c>
      <c r="FC24" s="211">
        <f ca="1">IF($D24&lt;&gt;"Serviço",0,IF(AND(AUTOEVENTO="Manual",$M24=1),0,IF(OFFSET(CRONOPLE!$F$14,$M24,FC$13)="",10^12,OFFSET(CRONOPLE!$F$14,$M24,FC$13))))</f>
        <v>1000000000000</v>
      </c>
      <c r="FD24" s="211">
        <f ca="1">IF($D24&lt;&gt;"Serviço",0,IF(AND(AUTOEVENTO="Manual",$M24=1),0,IF(OFFSET(CRONOPLE!$F$14,$M24,FD$13)="",10^12,OFFSET(CRONOPLE!$F$14,$M24,FD$13))))</f>
        <v>1000000000000</v>
      </c>
      <c r="FE24" s="211">
        <f ca="1">IF($D24&lt;&gt;"Serviço",0,IF(AND(AUTOEVENTO="Manual",$M24=1),0,IF(OFFSET(CRONOPLE!$F$14,$M24,FE$13)="",10^12,OFFSET(CRONOPLE!$F$14,$M24,FE$13))))</f>
        <v>1000000000000</v>
      </c>
      <c r="FF24" s="211">
        <f ca="1">IF($D24&lt;&gt;"Serviço",0,IF(AND(AUTOEVENTO="Manual",$M24=1),0,IF(OFFSET(CRONOPLE!$F$14,$M24,FF$13)="",10^12,OFFSET(CRONOPLE!$F$14,$M24,FF$13))))</f>
        <v>1000000000000</v>
      </c>
      <c r="FG24" s="211">
        <f ca="1">IF($D24&lt;&gt;"Serviço",0,IF(AND(AUTOEVENTO="Manual",$M24=1),0,IF(OFFSET(CRONOPLE!$F$14,$M24,FG$13)="",10^12,OFFSET(CRONOPLE!$F$14,$M24,FG$13))))</f>
        <v>1000000000000</v>
      </c>
      <c r="FH24" s="211">
        <f ca="1">IF($D24&lt;&gt;"Serviço",0,IF(AND(AUTOEVENTO="Manual",$M24=1),0,IF(OFFSET(CRONOPLE!$F$14,$M24,FH$13)="",10^12,OFFSET(CRONOPLE!$F$14,$M24,FH$13))))</f>
        <v>1000000000000</v>
      </c>
      <c r="FI24" s="211">
        <f ca="1">IF($D24&lt;&gt;"Serviço",0,IF(AND(AUTOEVENTO="Manual",$M24=1),0,IF(OFFSET(CRONOPLE!$F$14,$M24,FI$13)="",10^12,OFFSET(CRONOPLE!$F$14,$M24,FI$13))))</f>
        <v>1000000000000</v>
      </c>
      <c r="FJ24" s="211">
        <f ca="1">IF($D24&lt;&gt;"Serviço",0,IF(AND(AUTOEVENTO="Manual",$M24=1),0,IF(OFFSET(CRONOPLE!$F$14,$M24,FJ$13)="",10^12,OFFSET(CRONOPLE!$F$14,$M24,FJ$13))))</f>
        <v>1000000000000</v>
      </c>
      <c r="FK24" s="211">
        <f ca="1">IF($D24&lt;&gt;"Serviço",0,IF(AND(AUTOEVENTO="Manual",$M24=1),0,IF(OFFSET(CRONOPLE!$F$14,$M24,FK$13)="",10^12,OFFSET(CRONOPLE!$F$14,$M24,FK$13))))</f>
        <v>1000000000000</v>
      </c>
      <c r="FL24" s="211">
        <f ca="1">IF($D24&lt;&gt;"Serviço",0,IF(AND(AUTOEVENTO="Manual",$M24=1),0,IF(OFFSET(CRONOPLE!$F$14,$M24,FL$13)="",10^12,OFFSET(CRONOPLE!$F$14,$M24,FL$13))))</f>
        <v>1000000000000</v>
      </c>
      <c r="FN24" s="212">
        <f ca="1">IF($D24&lt;&gt;"Serviço",0,IF(OR(AND(AUTOEVENTO="Manual",$M24=1),$M24&gt;(ROW(PLE.lastrow)-ROW(PLE.firstrow))),0,IF(OFFSET(PLE!$G$14,$M24,FN$13)="",10^12,OFFSET(PLE!$G$14,$M24,FN$13))))</f>
        <v>1000000000000</v>
      </c>
      <c r="FO24" s="212">
        <f ca="1">IF($D24&lt;&gt;"Serviço",0,IF(OR(AND(AUTOEVENTO="Manual",$M24=1),$M24&gt;(ROW(PLE.lastrow)-ROW(PLE.firstrow))),0,IF(OFFSET(PLE!$G$14,$M24,FO$13)="",10^12,OFFSET(PLE!$G$14,$M24,FO$13))))</f>
        <v>1000000000000</v>
      </c>
      <c r="FP24" s="212">
        <f ca="1">IF($D24&lt;&gt;"Serviço",0,IF(OR(AND(AUTOEVENTO="Manual",$M24=1),$M24&gt;(ROW(PLE.lastrow)-ROW(PLE.firstrow))),0,IF(OFFSET(PLE!$G$14,$M24,FP$13)="",10^12,OFFSET(PLE!$G$14,$M24,FP$13))))</f>
        <v>1000000000000</v>
      </c>
      <c r="FQ24" s="212">
        <f ca="1">IF($D24&lt;&gt;"Serviço",0,IF(OR(AND(AUTOEVENTO="Manual",$M24=1),$M24&gt;(ROW(PLE.lastrow)-ROW(PLE.firstrow))),0,IF(OFFSET(PLE!$G$14,$M24,FQ$13)="",10^12,OFFSET(PLE!$G$14,$M24,FQ$13))))</f>
        <v>1000000000000</v>
      </c>
      <c r="FR24" s="212">
        <f ca="1">IF($D24&lt;&gt;"Serviço",0,IF(OR(AND(AUTOEVENTO="Manual",$M24=1),$M24&gt;(ROW(PLE.lastrow)-ROW(PLE.firstrow))),0,IF(OFFSET(PLE!$G$14,$M24,FR$13)="",10^12,OFFSET(PLE!$G$14,$M24,FR$13))))</f>
        <v>1000000000000</v>
      </c>
      <c r="FS24" s="212">
        <f ca="1">IF($D24&lt;&gt;"Serviço",0,IF(OR(AND(AUTOEVENTO="Manual",$M24=1),$M24&gt;(ROW(PLE.lastrow)-ROW(PLE.firstrow))),0,IF(OFFSET(PLE!$G$14,$M24,FS$13)="",10^12,OFFSET(PLE!$G$14,$M24,FS$13))))</f>
        <v>1000000000000</v>
      </c>
      <c r="FT24" s="212">
        <f ca="1">IF($D24&lt;&gt;"Serviço",0,IF(OR(AND(AUTOEVENTO="Manual",$M24=1),$M24&gt;(ROW(PLE.lastrow)-ROW(PLE.firstrow))),0,IF(OFFSET(PLE!$G$14,$M24,FT$13)="",10^12,OFFSET(PLE!$G$14,$M24,FT$13))))</f>
        <v>1000000000000</v>
      </c>
      <c r="FU24" s="212">
        <f ca="1">IF($D24&lt;&gt;"Serviço",0,IF(OR(AND(AUTOEVENTO="Manual",$M24=1),$M24&gt;(ROW(PLE.lastrow)-ROW(PLE.firstrow))),0,IF(OFFSET(PLE!$G$14,$M24,FU$13)="",10^12,OFFSET(PLE!$G$14,$M24,FU$13))))</f>
        <v>1000000000000</v>
      </c>
      <c r="FV24" s="212">
        <f ca="1">IF($D24&lt;&gt;"Serviço",0,IF(OR(AND(AUTOEVENTO="Manual",$M24=1),$M24&gt;(ROW(PLE.lastrow)-ROW(PLE.firstrow))),0,IF(OFFSET(PLE!$G$14,$M24,FV$13)="",10^12,OFFSET(PLE!$G$14,$M24,FV$13))))</f>
        <v>1000000000000</v>
      </c>
      <c r="FW24" s="212">
        <f ca="1">IF($D24&lt;&gt;"Serviço",0,IF(OR(AND(AUTOEVENTO="Manual",$M24=1),$M24&gt;(ROW(PLE.lastrow)-ROW(PLE.firstrow))),0,IF(OFFSET(PLE!$G$14,$M24,FW$13)="",10^12,OFFSET(PLE!$G$14,$M24,FW$13))))</f>
        <v>1000000000000</v>
      </c>
      <c r="FX24" s="212">
        <f ca="1">IF($D24&lt;&gt;"Serviço",0,IF(OR(AND(AUTOEVENTO="Manual",$M24=1),$M24&gt;(ROW(PLE.lastrow)-ROW(PLE.firstrow))),0,IF(OFFSET(PLE!$G$14,$M24,FX$13)="",10^12,OFFSET(PLE!$G$14,$M24,FX$13))))</f>
        <v>1000000000000</v>
      </c>
      <c r="FY24" s="212">
        <f ca="1">IF($D24&lt;&gt;"Serviço",0,IF(OR(AND(AUTOEVENTO="Manual",$M24=1),$M24&gt;(ROW(PLE.lastrow)-ROW(PLE.firstrow))),0,IF(OFFSET(PLE!$G$14,$M24,FY$13)="",10^12,OFFSET(PLE!$G$14,$M24,FY$13))))</f>
        <v>1000000000000</v>
      </c>
      <c r="FZ24" s="212">
        <f ca="1">IF($D24&lt;&gt;"Serviço",0,IF(OR(AND(AUTOEVENTO="Manual",$M24=1),$M24&gt;(ROW(PLE.lastrow)-ROW(PLE.firstrow))),0,IF(OFFSET(PLE!$G$14,$M24,FZ$13)="",10^12,OFFSET(PLE!$G$14,$M24,FZ$13))))</f>
        <v>1000000000000</v>
      </c>
      <c r="GA24" s="212">
        <f ca="1">IF($D24&lt;&gt;"Serviço",0,IF(OR(AND(AUTOEVENTO="Manual",$M24=1),$M24&gt;(ROW(PLE.lastrow)-ROW(PLE.firstrow))),0,IF(OFFSET(PLE!$G$14,$M24,GA$13)="",10^12,OFFSET(PLE!$G$14,$M24,GA$13))))</f>
        <v>1000000000000</v>
      </c>
      <c r="GB24" s="212">
        <f ca="1">IF($D24&lt;&gt;"Serviço",0,IF(OR(AND(AUTOEVENTO="Manual",$M24=1),$M24&gt;(ROW(PLE.lastrow)-ROW(PLE.firstrow))),0,IF(OFFSET(PLE!$G$14,$M24,GB$13)="",10^12,OFFSET(PLE!$G$14,$M24,GB$13))))</f>
        <v>1000000000000</v>
      </c>
      <c r="GC24" s="212">
        <f ca="1">IF($D24&lt;&gt;"Serviço",0,IF(OR(AND(AUTOEVENTO="Manual",$M24=1),$M24&gt;(ROW(PLE.lastrow)-ROW(PLE.firstrow))),0,IF(OFFSET(PLE!$G$14,$M24,GC$13)="",10^12,OFFSET(PLE!$G$14,$M24,GC$13))))</f>
        <v>1000000000000</v>
      </c>
      <c r="GD24" s="212">
        <f ca="1">IF($D24&lt;&gt;"Serviço",0,IF(OR(AND(AUTOEVENTO="Manual",$M24=1),$M24&gt;(ROW(PLE.lastrow)-ROW(PLE.firstrow))),0,IF(OFFSET(PLE!$G$14,$M24,GD$13)="",10^12,OFFSET(PLE!$G$14,$M24,GD$13))))</f>
        <v>1000000000000</v>
      </c>
      <c r="GE24" s="212">
        <f ca="1">IF($D24&lt;&gt;"Serviço",0,IF(OR(AND(AUTOEVENTO="Manual",$M24=1),$M24&gt;(ROW(PLE.lastrow)-ROW(PLE.firstrow))),0,IF(OFFSET(PLE!$G$14,$M24,GE$13)="",10^12,OFFSET(PLE!$G$14,$M24,GE$13))))</f>
        <v>1000000000000</v>
      </c>
      <c r="GF24" s="212">
        <f ca="1">IF($D24&lt;&gt;"Serviço",0,IF(OR(AND(AUTOEVENTO="Manual",$M24=1),$M24&gt;(ROW(PLE.lastrow)-ROW(PLE.firstrow))),0,IF(OFFSET(PLE!$G$14,$M24,GF$13)="",10^12,OFFSET(PLE!$G$14,$M24,GF$13))))</f>
        <v>1000000000000</v>
      </c>
      <c r="GG24" s="212">
        <f ca="1">IF($D24&lt;&gt;"Serviço",0,IF(OR(AND(AUTOEVENTO="Manual",$M24=1),$M24&gt;(ROW(PLE.lastrow)-ROW(PLE.firstrow))),0,IF(OFFSET(PLE!$G$14,$M24,GG$13)="",10^12,OFFSET(PLE!$G$14,$M24,GG$13))))</f>
        <v>1000000000000</v>
      </c>
      <c r="GH24" s="212">
        <f ca="1">IF($D24&lt;&gt;"Serviço",0,IF(OR(AND(AUTOEVENTO="Manual",$M24=1),$M24&gt;(ROW(PLE.lastrow)-ROW(PLE.firstrow))),0,IF(OFFSET(PLE!$G$14,$M24,GH$13)="",10^12,OFFSET(PLE!$G$14,$M24,GH$13))))</f>
        <v>1000000000000</v>
      </c>
      <c r="GI24" s="212">
        <f ca="1">IF($D24&lt;&gt;"Serviço",0,IF(OR(AND(AUTOEVENTO="Manual",$M24=1),$M24&gt;(ROW(PLE.lastrow)-ROW(PLE.firstrow))),0,IF(OFFSET(PLE!$G$14,$M24,GI$13)="",10^12,OFFSET(PLE!$G$14,$M24,GI$13))))</f>
        <v>1000000000000</v>
      </c>
      <c r="GJ24" s="212">
        <f ca="1">IF($D24&lt;&gt;"Serviço",0,IF(OR(AND(AUTOEVENTO="Manual",$M24=1),$M24&gt;(ROW(PLE.lastrow)-ROW(PLE.firstrow))),0,IF(OFFSET(PLE!$G$14,$M24,GJ$13)="",10^12,OFFSET(PLE!$G$14,$M24,GJ$13))))</f>
        <v>1000000000000</v>
      </c>
      <c r="GK24" s="212">
        <f ca="1">IF($D24&lt;&gt;"Serviço",0,IF(OR(AND(AUTOEVENTO="Manual",$M24=1),$M24&gt;(ROW(PLE.lastrow)-ROW(PLE.firstrow))),0,IF(OFFSET(PLE!$G$14,$M24,GK$13)="",10^12,OFFSET(PLE!$G$14,$M24,GK$13))))</f>
        <v>1000000000000</v>
      </c>
      <c r="GL24" s="212">
        <f ca="1">IF($D24&lt;&gt;"Serviço",0,IF(OR(AND(AUTOEVENTO="Manual",$M24=1),$M24&gt;(ROW(PLE.lastrow)-ROW(PLE.firstrow))),0,IF(OFFSET(PLE!$G$14,$M24,GL$13)="",10^12,OFFSET(PLE!$G$14,$M24,GL$13))))</f>
        <v>1000000000000</v>
      </c>
      <c r="GM24" s="212">
        <f ca="1">IF($D24&lt;&gt;"Serviço",0,IF(OR(AND(AUTOEVENTO="Manual",$M24=1),$M24&gt;(ROW(PLE.lastrow)-ROW(PLE.firstrow))),0,IF(OFFSET(PLE!$G$14,$M24,GM$13)="",10^12,OFFSET(PLE!$G$14,$M24,GM$13))))</f>
        <v>1000000000000</v>
      </c>
      <c r="GN24" s="212">
        <f ca="1">IF($D24&lt;&gt;"Serviço",0,IF(OR(AND(AUTOEVENTO="Manual",$M24=1),$M24&gt;(ROW(PLE.lastrow)-ROW(PLE.firstrow))),0,IF(OFFSET(PLE!$G$14,$M24,GN$13)="",10^12,OFFSET(PLE!$G$14,$M24,GN$13))))</f>
        <v>1000000000000</v>
      </c>
      <c r="GO24" s="212">
        <f ca="1">IF($D24&lt;&gt;"Serviço",0,IF(OR(AND(AUTOEVENTO="Manual",$M24=1),$M24&gt;(ROW(PLE.lastrow)-ROW(PLE.firstrow))),0,IF(OFFSET(PLE!$G$14,$M24,GO$13)="",10^12,OFFSET(PLE!$G$14,$M24,GO$13))))</f>
        <v>1000000000000</v>
      </c>
      <c r="GP24" s="212">
        <f ca="1">IF($D24&lt;&gt;"Serviço",0,IF(OR(AND(AUTOEVENTO="Manual",$M24=1),$M24&gt;(ROW(PLE.lastrow)-ROW(PLE.firstrow))),0,IF(OFFSET(PLE!$G$14,$M24,GP$13)="",10^12,OFFSET(PLE!$G$14,$M24,GP$13))))</f>
        <v>1000000000000</v>
      </c>
      <c r="GQ24" s="212">
        <f ca="1">IF($D24&lt;&gt;"Serviço",0,IF(OR(AND(AUTOEVENTO="Manual",$M24=1),$M24&gt;(ROW(PLE.lastrow)-ROW(PLE.firstrow))),0,IF(OFFSET(PLE!$G$14,$M24,GQ$13)="",10^12,OFFSET(PLE!$G$14,$M24,GQ$13))))</f>
        <v>1000000000000</v>
      </c>
      <c r="GR24" s="212">
        <f ca="1">IF($D24&lt;&gt;"Serviço",0,IF(OR(AND(AUTOEVENTO="Manual",$M24=1),$M24&gt;(ROW(PLE.lastrow)-ROW(PLE.firstrow))),0,IF(OFFSET(PLE!$G$14,$M24,GR$13)="",10^12,OFFSET(PLE!$G$14,$M24,GR$13))))</f>
        <v>1000000000000</v>
      </c>
      <c r="GS24" s="212">
        <f ca="1">IF($D24&lt;&gt;"Serviço",0,IF(OR(AND(AUTOEVENTO="Manual",$M24=1),$M24&gt;(ROW(PLE.lastrow)-ROW(PLE.firstrow))),0,IF(OFFSET(PLE!$G$14,$M24,GS$13)="",10^12,OFFSET(PLE!$G$14,$M24,GS$13))))</f>
        <v>1000000000000</v>
      </c>
      <c r="GT24" s="212">
        <f ca="1">IF($D24&lt;&gt;"Serviço",0,IF(OR(AND(AUTOEVENTO="Manual",$M24=1),$M24&gt;(ROW(PLE.lastrow)-ROW(PLE.firstrow))),0,IF(OFFSET(PLE!$G$14,$M24,GT$13)="",10^12,OFFSET(PLE!$G$14,$M24,GT$13))))</f>
        <v>1000000000000</v>
      </c>
      <c r="GU24" s="212">
        <f ca="1">IF($D24&lt;&gt;"Serviço",0,IF(OR(AND(AUTOEVENTO="Manual",$M24=1),$M24&gt;(ROW(PLE.lastrow)-ROW(PLE.firstrow))),0,IF(OFFSET(PLE!$G$14,$M24,GU$13)="",10^12,OFFSET(PLE!$G$14,$M24,GU$13))))</f>
        <v>1000000000000</v>
      </c>
      <c r="GV24" s="212">
        <f ca="1">IF($D24&lt;&gt;"Serviço",0,IF(OR(AND(AUTOEVENTO="Manual",$M24=1),$M24&gt;(ROW(PLE.lastrow)-ROW(PLE.firstrow))),0,IF(OFFSET(PLE!$G$14,$M24,GV$13)="",10^12,OFFSET(PLE!$G$14,$M24,GV$13))))</f>
        <v>1000000000000</v>
      </c>
      <c r="GW24" s="212">
        <f ca="1">IF($D24&lt;&gt;"Serviço",0,IF(OR(AND(AUTOEVENTO="Manual",$M24=1),$M24&gt;(ROW(PLE.lastrow)-ROW(PLE.firstrow))),0,IF(OFFSET(PLE!$G$14,$M24,GW$13)="",10^12,OFFSET(PLE!$G$14,$M24,GW$13))))</f>
        <v>1000000000000</v>
      </c>
      <c r="GX24" s="212">
        <f ca="1">IF($D24&lt;&gt;"Serviço",0,IF(OR(AND(AUTOEVENTO="Manual",$M24=1),$M24&gt;(ROW(PLE.lastrow)-ROW(PLE.firstrow))),0,IF(OFFSET(PLE!$G$14,$M24,GX$13)="",10^12,OFFSET(PLE!$G$14,$M24,GX$13))))</f>
        <v>1000000000000</v>
      </c>
      <c r="GY24" s="212">
        <f ca="1">IF($D24&lt;&gt;"Serviço",0,IF(OR(AND(AUTOEVENTO="Manual",$M24=1),$M24&gt;(ROW(PLE.lastrow)-ROW(PLE.firstrow))),0,IF(OFFSET(PLE!$G$14,$M24,GY$13)="",10^12,OFFSET(PLE!$G$14,$M24,GY$13))))</f>
        <v>1000000000000</v>
      </c>
      <c r="GZ24" s="212">
        <f ca="1">IF($D24&lt;&gt;"Serviço",0,IF(OR(AND(AUTOEVENTO="Manual",$M24=1),$M24&gt;(ROW(PLE.lastrow)-ROW(PLE.firstrow))),0,IF(OFFSET(PLE!$G$14,$M24,GZ$13)="",10^12,OFFSET(PLE!$G$14,$M24,GZ$13))))</f>
        <v>1000000000000</v>
      </c>
      <c r="HA24" s="212">
        <f ca="1">IF($D24&lt;&gt;"Serviço",0,IF(OR(AND(AUTOEVENTO="Manual",$M24=1),$M24&gt;(ROW(PLE.lastrow)-ROW(PLE.firstrow))),0,IF(OFFSET(PLE!$G$14,$M24,HA$13)="",10^12,OFFSET(PLE!$G$14,$M24,HA$13))))</f>
        <v>1000000000000</v>
      </c>
      <c r="HB24" s="212">
        <f ca="1">IF($D24&lt;&gt;"Serviço",0,IF(OR(AND(AUTOEVENTO="Manual",$M24=1),$M24&gt;(ROW(PLE.lastrow)-ROW(PLE.firstrow))),0,IF(OFFSET(PLE!$G$14,$M24,HB$13)="",10^12,OFFSET(PLE!$G$14,$M24,HB$13))))</f>
        <v>1000000000000</v>
      </c>
      <c r="HC24" s="212">
        <f ca="1">IF($D24&lt;&gt;"Serviço",0,IF(OR(AND(AUTOEVENTO="Manual",$M24=1),$M24&gt;(ROW(PLE.lastrow)-ROW(PLE.firstrow))),0,IF(OFFSET(PLE!$G$14,$M24,HC$13)="",10^12,OFFSET(PLE!$G$14,$M24,HC$13))))</f>
        <v>1000000000000</v>
      </c>
      <c r="HD24" s="212">
        <f ca="1">IF($D24&lt;&gt;"Serviço",0,IF(OR(AND(AUTOEVENTO="Manual",$M24=1),$M24&gt;(ROW(PLE.lastrow)-ROW(PLE.firstrow))),0,IF(OFFSET(PLE!$G$14,$M24,HD$13)="",10^12,OFFSET(PLE!$G$14,$M24,HD$13))))</f>
        <v>1000000000000</v>
      </c>
      <c r="HE24" s="212">
        <f ca="1">IF($D24&lt;&gt;"Serviço",0,IF(OR(AND(AUTOEVENTO="Manual",$M24=1),$M24&gt;(ROW(PLE.lastrow)-ROW(PLE.firstrow))),0,IF(OFFSET(PLE!$G$14,$M24,HE$13)="",10^12,OFFSET(PLE!$G$14,$M24,HE$13))))</f>
        <v>1000000000000</v>
      </c>
      <c r="HF24" s="212">
        <f ca="1">IF($D24&lt;&gt;"Serviço",0,IF(OR(AND(AUTOEVENTO="Manual",$M24=1),$M24&gt;(ROW(PLE.lastrow)-ROW(PLE.firstrow))),0,IF(OFFSET(PLE!$G$14,$M24,HF$13)="",10^12,OFFSET(PLE!$G$14,$M24,HF$13))))</f>
        <v>1000000000000</v>
      </c>
      <c r="HG24" s="212">
        <f ca="1">IF($D24&lt;&gt;"Serviço",0,IF(OR(AND(AUTOEVENTO="Manual",$M24=1),$M24&gt;(ROW(PLE.lastrow)-ROW(PLE.firstrow))),0,IF(OFFSET(PLE!$G$14,$M24,HG$13)="",10^12,OFFSET(PLE!$G$14,$M24,HG$13))))</f>
        <v>1000000000000</v>
      </c>
      <c r="HH24" s="212">
        <f ca="1">IF($D24&lt;&gt;"Serviço",0,IF(OR(AND(AUTOEVENTO="Manual",$M24=1),$M24&gt;(ROW(PLE.lastrow)-ROW(PLE.firstrow))),0,IF(OFFSET(PLE!$G$14,$M24,HH$13)="",10^12,OFFSET(PLE!$G$14,$M24,HH$13))))</f>
        <v>1000000000000</v>
      </c>
      <c r="HI24" s="212">
        <f ca="1">IF($D24&lt;&gt;"Serviço",0,IF(OR(AND(AUTOEVENTO="Manual",$M24=1),$M24&gt;(ROW(PLE.lastrow)-ROW(PLE.firstrow))),0,IF(OFFSET(PLE!$G$14,$M24,HI$13)="",10^12,OFFSET(PLE!$G$14,$M24,HI$13))))</f>
        <v>1000000000000</v>
      </c>
      <c r="HJ24" s="212">
        <f ca="1">IF($D24&lt;&gt;"Serviço",0,IF(OR(AND(AUTOEVENTO="Manual",$M24=1),$M24&gt;(ROW(PLE.lastrow)-ROW(PLE.firstrow))),0,IF(OFFSET(PLE!$G$14,$M24,HJ$13)="",10^12,OFFSET(PLE!$G$14,$M24,HJ$13))))</f>
        <v>1000000000000</v>
      </c>
      <c r="HK24" s="212">
        <f ca="1">IF($D24&lt;&gt;"Serviço",0,IF(OR(AND(AUTOEVENTO="Manual",$M24=1),$M24&gt;(ROW(PLE.lastrow)-ROW(PLE.firstrow))),0,IF(OFFSET(PLE!$G$14,$M24,HK$13)="",10^12,OFFSET(PLE!$G$14,$M24,HK$13))))</f>
        <v>1000000000000</v>
      </c>
    </row>
    <row r="25" spans="1:219" ht="12.75" x14ac:dyDescent="0.2">
      <c r="A25" s="9" t="str">
        <f ca="1">IF(AUTOEVENTO="Manual",IF(K25&lt;&gt;"",MIN(VALUE(LEFT(K25,FIND(".",K25)-1)),COUNTA(EVENTOS.Lista)),0),IF(OR($B25&gt;AUTOEVENTO,$B25="S",$B25=0),SUBSTITUTE(OFFSET($A25,-1,0),IF($D25="Serviço",".",""),""),ROW(A25)-ROW($A$15)&amp;"."))</f>
        <v>10.</v>
      </c>
      <c r="B25" s="9">
        <f ca="1">OFFSET(ORÇAMENTO!C$15,ROW(B25)-ROW(B$15),0)</f>
        <v>2</v>
      </c>
      <c r="C25" s="9" t="str">
        <f ca="1">OFFSET(ORÇAMENTO!L$15,ROW(C25)-ROW(C$15),0)</f>
        <v>F</v>
      </c>
      <c r="D25" s="141" t="str">
        <f ca="1">OFFSET(ORÇAMENTO!N$15,ROW(D25)-ROW(D$15),0)</f>
        <v>Nível 2</v>
      </c>
      <c r="E25" s="201" t="str">
        <f ca="1">OFFSET(ORÇAMENTO!O$15,ROW(E25)-ROW(E$15),0)</f>
        <v>1.4.</v>
      </c>
      <c r="F25" s="202" t="str">
        <f ca="1">OFFSET(ORÇAMENTO!R$15,ROW(F25)-ROW(F$15),0)</f>
        <v>DRENAGEM SUPERFICIAL</v>
      </c>
      <c r="G25" s="203" t="str">
        <f ca="1">IF($D25&lt;&gt;"Serviço","",OFFSET(ORÇAMENTO!S$15,ROW(G25)-ROW(G$15),0))</f>
        <v/>
      </c>
      <c r="H25" s="147">
        <f ca="1">IF($D25&lt;&gt;"Serviço",0,IF(ACOMPANHAMENTO="BM",ROUND(OFFSET(ORÇAMENTO!AJ$15,ROW(H25)-ROW(H$15),0),15-13*ORÇAMENTO!$AF$7),SUMPRODUCT(($Q$12:$BO$12&lt;&gt;"")*ROUND($Q25:$BO25,15-13*ORÇAMENTO!$AF$7))))</f>
        <v>0</v>
      </c>
      <c r="I25" s="646"/>
      <c r="K25" s="204"/>
      <c r="L25" s="205" t="s">
        <v>257</v>
      </c>
      <c r="M25" s="206" t="str">
        <f ca="1">IF($D25&lt;&gt;"Serviço","",IF(AUTOEVENTO="manual",$A25,IF(ISERROR(MATCH($A25,$A$15:OFFSET($A25,-1,0),0)),MAX($M$15:OFFSET(M25,-1,0))+1,INDEX($M$15:OFFSET(M25,-1,0),MATCH($A25,$A$15:OFFSET($A25,-1,0),0)))))</f>
        <v/>
      </c>
      <c r="N25" s="207" t="str">
        <f ca="1">IF($D25&lt;&gt;"Serviço","",IF(AUTOEVENTO="Manual",IF($A25=0,"&lt;-- defina o número do agrupador",OFFSET(EVENTOS!$D$14,$A25,0)),OFFSET($F$15,$A25,0)))</f>
        <v/>
      </c>
      <c r="O25" s="208"/>
      <c r="Q25" s="208"/>
      <c r="R25" s="209"/>
      <c r="S25" s="209"/>
      <c r="T25" s="209"/>
      <c r="U25" s="209"/>
      <c r="V25" s="209"/>
      <c r="W25" s="209"/>
      <c r="X25" s="209"/>
      <c r="Y25" s="209"/>
      <c r="Z25" s="210"/>
      <c r="AA25" s="209"/>
      <c r="AB25" s="209"/>
      <c r="AC25" s="209"/>
      <c r="AD25" s="209"/>
      <c r="AE25" s="209"/>
      <c r="AF25" s="209"/>
      <c r="AG25" s="209"/>
      <c r="AH25" s="210"/>
      <c r="AI25" s="209"/>
      <c r="AJ25" s="209"/>
      <c r="AK25" s="209"/>
      <c r="AL25" s="209"/>
      <c r="AM25" s="209"/>
      <c r="AN25" s="209"/>
      <c r="AO25" s="209"/>
      <c r="AP25" s="210"/>
      <c r="AQ25" s="209"/>
      <c r="AR25" s="209"/>
      <c r="AS25" s="209"/>
      <c r="AT25" s="209"/>
      <c r="AU25" s="209"/>
      <c r="AV25" s="209"/>
      <c r="AW25" s="209"/>
      <c r="AX25" s="210"/>
      <c r="AY25" s="209"/>
      <c r="AZ25" s="209"/>
      <c r="BA25" s="209"/>
      <c r="BB25" s="209"/>
      <c r="BC25" s="209"/>
      <c r="BD25" s="209"/>
      <c r="BE25" s="209"/>
      <c r="BF25" s="210"/>
      <c r="BG25" s="209"/>
      <c r="BH25" s="209"/>
      <c r="BI25" s="209"/>
      <c r="BJ25" s="209"/>
      <c r="BK25" s="209"/>
      <c r="BL25" s="209"/>
      <c r="BM25" s="209"/>
      <c r="BN25" s="210"/>
      <c r="BP25" s="627">
        <f ca="1">IF(AND($D25="Serviço",BP$12&lt;&gt;0,$H25&gt;0,OR(AUTOEVENTO&lt;&gt;"manual",$M25&lt;&gt;1)),ROUND(OFFSET($P25,0,BP$13),15-13*ORÇAMENTO!$AF$7)/$H25*OFFSET(ORÇAMENTO!$X$15,ROW(BP25)-ROW(BP$15),0),0)</f>
        <v>0</v>
      </c>
      <c r="BQ25" s="628">
        <f ca="1">IF(AND($D25="Serviço",BQ$12&lt;&gt;0,$H25&gt;0,OR(AUTOEVENTO&lt;&gt;"manual",$M25&lt;&gt;1)),ROUND(OFFSET($P25,0,BQ$13),15-13*ORÇAMENTO!$AF$7)/$H25*OFFSET(ORÇAMENTO!$X$15,ROW(BQ25)-ROW(BQ$15),0),0)</f>
        <v>0</v>
      </c>
      <c r="BR25" s="628">
        <f ca="1">IF(AND($D25="Serviço",BR$12&lt;&gt;0,$H25&gt;0,OR(AUTOEVENTO&lt;&gt;"manual",$M25&lt;&gt;1)),ROUND(OFFSET($P25,0,BR$13),15-13*ORÇAMENTO!$AF$7)/$H25*OFFSET(ORÇAMENTO!$X$15,ROW(BR25)-ROW(BR$15),0),0)</f>
        <v>0</v>
      </c>
      <c r="BS25" s="628">
        <f ca="1">IF(AND($D25="Serviço",BS$12&lt;&gt;0,$H25&gt;0,OR(AUTOEVENTO&lt;&gt;"manual",$M25&lt;&gt;1)),ROUND(OFFSET($P25,0,BS$13),15-13*ORÇAMENTO!$AF$7)/$H25*OFFSET(ORÇAMENTO!$X$15,ROW(BS25)-ROW(BS$15),0),0)</f>
        <v>0</v>
      </c>
      <c r="BT25" s="628">
        <f ca="1">IF(AND($D25="Serviço",BT$12&lt;&gt;0,$H25&gt;0,OR(AUTOEVENTO&lt;&gt;"manual",$M25&lt;&gt;1)),ROUND(OFFSET($P25,0,BT$13),15-13*ORÇAMENTO!$AF$7)/$H25*OFFSET(ORÇAMENTO!$X$15,ROW(BT25)-ROW(BT$15),0),0)</f>
        <v>0</v>
      </c>
      <c r="BU25" s="628">
        <f ca="1">IF(AND($D25="Serviço",BU$12&lt;&gt;0,$H25&gt;0,OR(AUTOEVENTO&lt;&gt;"manual",$M25&lt;&gt;1)),ROUND(OFFSET($P25,0,BU$13),15-13*ORÇAMENTO!$AF$7)/$H25*OFFSET(ORÇAMENTO!$X$15,ROW(BU25)-ROW(BU$15),0),0)</f>
        <v>0</v>
      </c>
      <c r="BV25" s="628">
        <f ca="1">IF(AND($D25="Serviço",BV$12&lt;&gt;0,$H25&gt;0,OR(AUTOEVENTO&lt;&gt;"manual",$M25&lt;&gt;1)),ROUND(OFFSET($P25,0,BV$13),15-13*ORÇAMENTO!$AF$7)/$H25*OFFSET(ORÇAMENTO!$X$15,ROW(BV25)-ROW(BV$15),0),0)</f>
        <v>0</v>
      </c>
      <c r="BW25" s="628">
        <f ca="1">IF(AND($D25="Serviço",BW$12&lt;&gt;0,$H25&gt;0,OR(AUTOEVENTO&lt;&gt;"manual",$M25&lt;&gt;1)),ROUND(OFFSET($P25,0,BW$13),15-13*ORÇAMENTO!$AF$7)/$H25*OFFSET(ORÇAMENTO!$X$15,ROW(BW25)-ROW(BW$15),0),0)</f>
        <v>0</v>
      </c>
      <c r="BX25" s="628">
        <f ca="1">IF(AND($D25="Serviço",BX$12&lt;&gt;0,$H25&gt;0,OR(AUTOEVENTO&lt;&gt;"manual",$M25&lt;&gt;1)),ROUND(OFFSET($P25,0,BX$13),15-13*ORÇAMENTO!$AF$7)/$H25*OFFSET(ORÇAMENTO!$X$15,ROW(BX25)-ROW(BX$15),0),0)</f>
        <v>0</v>
      </c>
      <c r="BY25" s="629">
        <f ca="1">IF(AND($D25="Serviço",BY$12&lt;&gt;0,$H25&gt;0,OR(AUTOEVENTO&lt;&gt;"manual",$M25&lt;&gt;1)),ROUND(OFFSET($P25,0,BY$13),15-13*ORÇAMENTO!$AF$7)/$H25*OFFSET(ORÇAMENTO!$X$15,ROW(BY25)-ROW(BY$15),0),0)</f>
        <v>0</v>
      </c>
      <c r="BZ25" s="628">
        <f ca="1">IF(AND($D25="Serviço",BZ$12&lt;&gt;0,$H25&gt;0,OR(AUTOEVENTO&lt;&gt;"manual",$M25&lt;&gt;1)),ROUND(OFFSET($P25,0,BZ$13),15-13*ORÇAMENTO!$AF$7)/$H25*OFFSET(ORÇAMENTO!$X$15,ROW(BZ25)-ROW(BZ$15),0),0)</f>
        <v>0</v>
      </c>
      <c r="CA25" s="628">
        <f ca="1">IF(AND($D25="Serviço",CA$12&lt;&gt;0,$H25&gt;0,OR(AUTOEVENTO&lt;&gt;"manual",$M25&lt;&gt;1)),ROUND(OFFSET($P25,0,CA$13),15-13*ORÇAMENTO!$AF$7)/$H25*OFFSET(ORÇAMENTO!$X$15,ROW(CA25)-ROW(CA$15),0),0)</f>
        <v>0</v>
      </c>
      <c r="CB25" s="628">
        <f ca="1">IF(AND($D25="Serviço",CB$12&lt;&gt;0,$H25&gt;0,OR(AUTOEVENTO&lt;&gt;"manual",$M25&lt;&gt;1)),ROUND(OFFSET($P25,0,CB$13),15-13*ORÇAMENTO!$AF$7)/$H25*OFFSET(ORÇAMENTO!$X$15,ROW(CB25)-ROW(CB$15),0),0)</f>
        <v>0</v>
      </c>
      <c r="CC25" s="628">
        <f ca="1">IF(AND($D25="Serviço",CC$12&lt;&gt;0,$H25&gt;0,OR(AUTOEVENTO&lt;&gt;"manual",$M25&lt;&gt;1)),ROUND(OFFSET($P25,0,CC$13),15-13*ORÇAMENTO!$AF$7)/$H25*OFFSET(ORÇAMENTO!$X$15,ROW(CC25)-ROW(CC$15),0),0)</f>
        <v>0</v>
      </c>
      <c r="CD25" s="628">
        <f ca="1">IF(AND($D25="Serviço",CD$12&lt;&gt;0,$H25&gt;0,OR(AUTOEVENTO&lt;&gt;"manual",$M25&lt;&gt;1)),ROUND(OFFSET($P25,0,CD$13),15-13*ORÇAMENTO!$AF$7)/$H25*OFFSET(ORÇAMENTO!$X$15,ROW(CD25)-ROW(CD$15),0),0)</f>
        <v>0</v>
      </c>
      <c r="CE25" s="628">
        <f ca="1">IF(AND($D25="Serviço",CE$12&lt;&gt;0,$H25&gt;0,OR(AUTOEVENTO&lt;&gt;"manual",$M25&lt;&gt;1)),ROUND(OFFSET($P25,0,CE$13),15-13*ORÇAMENTO!$AF$7)/$H25*OFFSET(ORÇAMENTO!$X$15,ROW(CE25)-ROW(CE$15),0),0)</f>
        <v>0</v>
      </c>
      <c r="CF25" s="628">
        <f ca="1">IF(AND($D25="Serviço",CF$12&lt;&gt;0,$H25&gt;0,OR(AUTOEVENTO&lt;&gt;"manual",$M25&lt;&gt;1)),ROUND(OFFSET($P25,0,CF$13),15-13*ORÇAMENTO!$AF$7)/$H25*OFFSET(ORÇAMENTO!$X$15,ROW(CF25)-ROW(CF$15),0),0)</f>
        <v>0</v>
      </c>
      <c r="CG25" s="629">
        <f ca="1">IF(AND($D25="Serviço",CG$12&lt;&gt;0,$H25&gt;0,OR(AUTOEVENTO&lt;&gt;"manual",$M25&lt;&gt;1)),ROUND(OFFSET($P25,0,CG$13),15-13*ORÇAMENTO!$AF$7)/$H25*OFFSET(ORÇAMENTO!$X$15,ROW(CG25)-ROW(CG$15),0),0)</f>
        <v>0</v>
      </c>
      <c r="CH25" s="628">
        <f ca="1">IF(AND($D25="Serviço",CH$12&lt;&gt;0,$H25&gt;0,OR(AUTOEVENTO&lt;&gt;"manual",$M25&lt;&gt;1)),ROUND(OFFSET($P25,0,CH$13),15-13*ORÇAMENTO!$AF$7)/$H25*OFFSET(ORÇAMENTO!$X$15,ROW(CH25)-ROW(CH$15),0),0)</f>
        <v>0</v>
      </c>
      <c r="CI25" s="628">
        <f ca="1">IF(AND($D25="Serviço",CI$12&lt;&gt;0,$H25&gt;0,OR(AUTOEVENTO&lt;&gt;"manual",$M25&lt;&gt;1)),ROUND(OFFSET($P25,0,CI$13),15-13*ORÇAMENTO!$AF$7)/$H25*OFFSET(ORÇAMENTO!$X$15,ROW(CI25)-ROW(CI$15),0),0)</f>
        <v>0</v>
      </c>
      <c r="CJ25" s="628">
        <f ca="1">IF(AND($D25="Serviço",CJ$12&lt;&gt;0,$H25&gt;0,OR(AUTOEVENTO&lt;&gt;"manual",$M25&lt;&gt;1)),ROUND(OFFSET($P25,0,CJ$13),15-13*ORÇAMENTO!$AF$7)/$H25*OFFSET(ORÇAMENTO!$X$15,ROW(CJ25)-ROW(CJ$15),0),0)</f>
        <v>0</v>
      </c>
      <c r="CK25" s="628">
        <f ca="1">IF(AND($D25="Serviço",CK$12&lt;&gt;0,$H25&gt;0,OR(AUTOEVENTO&lt;&gt;"manual",$M25&lt;&gt;1)),ROUND(OFFSET($P25,0,CK$13),15-13*ORÇAMENTO!$AF$7)/$H25*OFFSET(ORÇAMENTO!$X$15,ROW(CK25)-ROW(CK$15),0),0)</f>
        <v>0</v>
      </c>
      <c r="CL25" s="628">
        <f ca="1">IF(AND($D25="Serviço",CL$12&lt;&gt;0,$H25&gt;0,OR(AUTOEVENTO&lt;&gt;"manual",$M25&lt;&gt;1)),ROUND(OFFSET($P25,0,CL$13),15-13*ORÇAMENTO!$AF$7)/$H25*OFFSET(ORÇAMENTO!$X$15,ROW(CL25)-ROW(CL$15),0),0)</f>
        <v>0</v>
      </c>
      <c r="CM25" s="628">
        <f ca="1">IF(AND($D25="Serviço",CM$12&lt;&gt;0,$H25&gt;0,OR(AUTOEVENTO&lt;&gt;"manual",$M25&lt;&gt;1)),ROUND(OFFSET($P25,0,CM$13),15-13*ORÇAMENTO!$AF$7)/$H25*OFFSET(ORÇAMENTO!$X$15,ROW(CM25)-ROW(CM$15),0),0)</f>
        <v>0</v>
      </c>
      <c r="CN25" s="628">
        <f ca="1">IF(AND($D25="Serviço",CN$12&lt;&gt;0,$H25&gt;0,OR(AUTOEVENTO&lt;&gt;"manual",$M25&lt;&gt;1)),ROUND(OFFSET($P25,0,CN$13),15-13*ORÇAMENTO!$AF$7)/$H25*OFFSET(ORÇAMENTO!$X$15,ROW(CN25)-ROW(CN$15),0),0)</f>
        <v>0</v>
      </c>
      <c r="CO25" s="629">
        <f ca="1">IF(AND($D25="Serviço",CO$12&lt;&gt;0,$H25&gt;0,OR(AUTOEVENTO&lt;&gt;"manual",$M25&lt;&gt;1)),ROUND(OFFSET($P25,0,CO$13),15-13*ORÇAMENTO!$AF$7)/$H25*OFFSET(ORÇAMENTO!$X$15,ROW(CO25)-ROW(CO$15),0),0)</f>
        <v>0</v>
      </c>
      <c r="CP25" s="628">
        <f ca="1">IF(AND($D25="Serviço",CP$12&lt;&gt;0,$H25&gt;0,OR(AUTOEVENTO&lt;&gt;"manual",$M25&lt;&gt;1)),ROUND(OFFSET($P25,0,CP$13),15-13*ORÇAMENTO!$AF$7)/$H25*OFFSET(ORÇAMENTO!$X$15,ROW(CP25)-ROW(CP$15),0),0)</f>
        <v>0</v>
      </c>
      <c r="CQ25" s="628">
        <f ca="1">IF(AND($D25="Serviço",CQ$12&lt;&gt;0,$H25&gt;0,OR(AUTOEVENTO&lt;&gt;"manual",$M25&lt;&gt;1)),ROUND(OFFSET($P25,0,CQ$13),15-13*ORÇAMENTO!$AF$7)/$H25*OFFSET(ORÇAMENTO!$X$15,ROW(CQ25)-ROW(CQ$15),0),0)</f>
        <v>0</v>
      </c>
      <c r="CR25" s="628">
        <f ca="1">IF(AND($D25="Serviço",CR$12&lt;&gt;0,$H25&gt;0,OR(AUTOEVENTO&lt;&gt;"manual",$M25&lt;&gt;1)),ROUND(OFFSET($P25,0,CR$13),15-13*ORÇAMENTO!$AF$7)/$H25*OFFSET(ORÇAMENTO!$X$15,ROW(CR25)-ROW(CR$15),0),0)</f>
        <v>0</v>
      </c>
      <c r="CS25" s="628">
        <f ca="1">IF(AND($D25="Serviço",CS$12&lt;&gt;0,$H25&gt;0,OR(AUTOEVENTO&lt;&gt;"manual",$M25&lt;&gt;1)),ROUND(OFFSET($P25,0,CS$13),15-13*ORÇAMENTO!$AF$7)/$H25*OFFSET(ORÇAMENTO!$X$15,ROW(CS25)-ROW(CS$15),0),0)</f>
        <v>0</v>
      </c>
      <c r="CT25" s="628">
        <f ca="1">IF(AND($D25="Serviço",CT$12&lt;&gt;0,$H25&gt;0,OR(AUTOEVENTO&lt;&gt;"manual",$M25&lt;&gt;1)),ROUND(OFFSET($P25,0,CT$13),15-13*ORÇAMENTO!$AF$7)/$H25*OFFSET(ORÇAMENTO!$X$15,ROW(CT25)-ROW(CT$15),0),0)</f>
        <v>0</v>
      </c>
      <c r="CU25" s="628">
        <f ca="1">IF(AND($D25="Serviço",CU$12&lt;&gt;0,$H25&gt;0,OR(AUTOEVENTO&lt;&gt;"manual",$M25&lt;&gt;1)),ROUND(OFFSET($P25,0,CU$13),15-13*ORÇAMENTO!$AF$7)/$H25*OFFSET(ORÇAMENTO!$X$15,ROW(CU25)-ROW(CU$15),0),0)</f>
        <v>0</v>
      </c>
      <c r="CV25" s="628">
        <f ca="1">IF(AND($D25="Serviço",CV$12&lt;&gt;0,$H25&gt;0,OR(AUTOEVENTO&lt;&gt;"manual",$M25&lt;&gt;1)),ROUND(OFFSET($P25,0,CV$13),15-13*ORÇAMENTO!$AF$7)/$H25*OFFSET(ORÇAMENTO!$X$15,ROW(CV25)-ROW(CV$15),0),0)</f>
        <v>0</v>
      </c>
      <c r="CW25" s="629">
        <f ca="1">IF(AND($D25="Serviço",CW$12&lt;&gt;0,$H25&gt;0,OR(AUTOEVENTO&lt;&gt;"manual",$M25&lt;&gt;1)),ROUND(OFFSET($P25,0,CW$13),15-13*ORÇAMENTO!$AF$7)/$H25*OFFSET(ORÇAMENTO!$X$15,ROW(CW25)-ROW(CW$15),0),0)</f>
        <v>0</v>
      </c>
      <c r="CX25" s="628">
        <f ca="1">IF(AND($D25="Serviço",CX$12&lt;&gt;0,$H25&gt;0,OR(AUTOEVENTO&lt;&gt;"manual",$M25&lt;&gt;1)),ROUND(OFFSET($P25,0,CX$13),15-13*ORÇAMENTO!$AF$7)/$H25*OFFSET(ORÇAMENTO!$X$15,ROW(CX25)-ROW(CX$15),0),0)</f>
        <v>0</v>
      </c>
      <c r="CY25" s="628">
        <f ca="1">IF(AND($D25="Serviço",CY$12&lt;&gt;0,$H25&gt;0,OR(AUTOEVENTO&lt;&gt;"manual",$M25&lt;&gt;1)),ROUND(OFFSET($P25,0,CY$13),15-13*ORÇAMENTO!$AF$7)/$H25*OFFSET(ORÇAMENTO!$X$15,ROW(CY25)-ROW(CY$15),0),0)</f>
        <v>0</v>
      </c>
      <c r="CZ25" s="628">
        <f ca="1">IF(AND($D25="Serviço",CZ$12&lt;&gt;0,$H25&gt;0,OR(AUTOEVENTO&lt;&gt;"manual",$M25&lt;&gt;1)),ROUND(OFFSET($P25,0,CZ$13),15-13*ORÇAMENTO!$AF$7)/$H25*OFFSET(ORÇAMENTO!$X$15,ROW(CZ25)-ROW(CZ$15),0),0)</f>
        <v>0</v>
      </c>
      <c r="DA25" s="628">
        <f ca="1">IF(AND($D25="Serviço",DA$12&lt;&gt;0,$H25&gt;0,OR(AUTOEVENTO&lt;&gt;"manual",$M25&lt;&gt;1)),ROUND(OFFSET($P25,0,DA$13),15-13*ORÇAMENTO!$AF$7)/$H25*OFFSET(ORÇAMENTO!$X$15,ROW(DA25)-ROW(DA$15),0),0)</f>
        <v>0</v>
      </c>
      <c r="DB25" s="628">
        <f ca="1">IF(AND($D25="Serviço",DB$12&lt;&gt;0,$H25&gt;0,OR(AUTOEVENTO&lt;&gt;"manual",$M25&lt;&gt;1)),ROUND(OFFSET($P25,0,DB$13),15-13*ORÇAMENTO!$AF$7)/$H25*OFFSET(ORÇAMENTO!$X$15,ROW(DB25)-ROW(DB$15),0),0)</f>
        <v>0</v>
      </c>
      <c r="DC25" s="628">
        <f ca="1">IF(AND($D25="Serviço",DC$12&lt;&gt;0,$H25&gt;0,OR(AUTOEVENTO&lt;&gt;"manual",$M25&lt;&gt;1)),ROUND(OFFSET($P25,0,DC$13),15-13*ORÇAMENTO!$AF$7)/$H25*OFFSET(ORÇAMENTO!$X$15,ROW(DC25)-ROW(DC$15),0),0)</f>
        <v>0</v>
      </c>
      <c r="DD25" s="628">
        <f ca="1">IF(AND($D25="Serviço",DD$12&lt;&gt;0,$H25&gt;0,OR(AUTOEVENTO&lt;&gt;"manual",$M25&lt;&gt;1)),ROUND(OFFSET($P25,0,DD$13),15-13*ORÇAMENTO!$AF$7)/$H25*OFFSET(ORÇAMENTO!$X$15,ROW(DD25)-ROW(DD$15),0),0)</f>
        <v>0</v>
      </c>
      <c r="DE25" s="629">
        <f ca="1">IF(AND($D25="Serviço",DE$12&lt;&gt;0,$H25&gt;0,OR(AUTOEVENTO&lt;&gt;"manual",$M25&lt;&gt;1)),ROUND(OFFSET($P25,0,DE$13),15-13*ORÇAMENTO!$AF$7)/$H25*OFFSET(ORÇAMENTO!$X$15,ROW(DE25)-ROW(DE$15),0),0)</f>
        <v>0</v>
      </c>
      <c r="DF25" s="628">
        <f ca="1">IF(AND($D25="Serviço",DF$12&lt;&gt;0,$H25&gt;0,OR(AUTOEVENTO&lt;&gt;"manual",$M25&lt;&gt;1)),ROUND(OFFSET($P25,0,DF$13),15-13*ORÇAMENTO!$AF$7)/$H25*OFFSET(ORÇAMENTO!$X$15,ROW(DF25)-ROW(DF$15),0),0)</f>
        <v>0</v>
      </c>
      <c r="DG25" s="628">
        <f ca="1">IF(AND($D25="Serviço",DG$12&lt;&gt;0,$H25&gt;0,OR(AUTOEVENTO&lt;&gt;"manual",$M25&lt;&gt;1)),ROUND(OFFSET($P25,0,DG$13),15-13*ORÇAMENTO!$AF$7)/$H25*OFFSET(ORÇAMENTO!$X$15,ROW(DG25)-ROW(DG$15),0),0)</f>
        <v>0</v>
      </c>
      <c r="DH25" s="628">
        <f ca="1">IF(AND($D25="Serviço",DH$12&lt;&gt;0,$H25&gt;0,OR(AUTOEVENTO&lt;&gt;"manual",$M25&lt;&gt;1)),ROUND(OFFSET($P25,0,DH$13),15-13*ORÇAMENTO!$AF$7)/$H25*OFFSET(ORÇAMENTO!$X$15,ROW(DH25)-ROW(DH$15),0),0)</f>
        <v>0</v>
      </c>
      <c r="DI25" s="628">
        <f ca="1">IF(AND($D25="Serviço",DI$12&lt;&gt;0,$H25&gt;0,OR(AUTOEVENTO&lt;&gt;"manual",$M25&lt;&gt;1)),ROUND(OFFSET($P25,0,DI$13),15-13*ORÇAMENTO!$AF$7)/$H25*OFFSET(ORÇAMENTO!$X$15,ROW(DI25)-ROW(DI$15),0),0)</f>
        <v>0</v>
      </c>
      <c r="DJ25" s="628">
        <f ca="1">IF(AND($D25="Serviço",DJ$12&lt;&gt;0,$H25&gt;0,OR(AUTOEVENTO&lt;&gt;"manual",$M25&lt;&gt;1)),ROUND(OFFSET($P25,0,DJ$13),15-13*ORÇAMENTO!$AF$7)/$H25*OFFSET(ORÇAMENTO!$X$15,ROW(DJ25)-ROW(DJ$15),0),0)</f>
        <v>0</v>
      </c>
      <c r="DK25" s="628">
        <f ca="1">IF(AND($D25="Serviço",DK$12&lt;&gt;0,$H25&gt;0,OR(AUTOEVENTO&lt;&gt;"manual",$M25&lt;&gt;1)),ROUND(OFFSET($P25,0,DK$13),15-13*ORÇAMENTO!$AF$7)/$H25*OFFSET(ORÇAMENTO!$X$15,ROW(DK25)-ROW(DK$15),0),0)</f>
        <v>0</v>
      </c>
      <c r="DL25" s="628">
        <f ca="1">IF(AND($D25="Serviço",DL$12&lt;&gt;0,$H25&gt;0,OR(AUTOEVENTO&lt;&gt;"manual",$M25&lt;&gt;1)),ROUND(OFFSET($P25,0,DL$13),15-13*ORÇAMENTO!$AF$7)/$H25*OFFSET(ORÇAMENTO!$X$15,ROW(DL25)-ROW(DL$15),0),0)</f>
        <v>0</v>
      </c>
      <c r="DM25" s="629">
        <f ca="1">IF(AND($D25="Serviço",DM$12&lt;&gt;0,$H25&gt;0,OR(AUTOEVENTO&lt;&gt;"manual",$M25&lt;&gt;1)),ROUND(OFFSET($P25,0,DM$13),15-13*ORÇAMENTO!$AF$7)/$H25*OFFSET(ORÇAMENTO!$X$15,ROW(DM25)-ROW(DM$15),0),0)</f>
        <v>0</v>
      </c>
      <c r="DO25" s="211">
        <f ca="1">IF($D25&lt;&gt;"Serviço",0,IF(AND(AUTOEVENTO="Manual",$M25=1),0,IF(OFFSET(CRONOPLE!$F$14,$M25,DO$13)="",10^12,OFFSET(CRONOPLE!$F$14,$M25,DO$13))))</f>
        <v>0</v>
      </c>
      <c r="DP25" s="211">
        <f ca="1">IF($D25&lt;&gt;"Serviço",0,IF(AND(AUTOEVENTO="Manual",$M25=1),0,IF(OFFSET(CRONOPLE!$F$14,$M25,DP$13)="",10^12,OFFSET(CRONOPLE!$F$14,$M25,DP$13))))</f>
        <v>0</v>
      </c>
      <c r="DQ25" s="211">
        <f ca="1">IF($D25&lt;&gt;"Serviço",0,IF(AND(AUTOEVENTO="Manual",$M25=1),0,IF(OFFSET(CRONOPLE!$F$14,$M25,DQ$13)="",10^12,OFFSET(CRONOPLE!$F$14,$M25,DQ$13))))</f>
        <v>0</v>
      </c>
      <c r="DR25" s="211">
        <f ca="1">IF($D25&lt;&gt;"Serviço",0,IF(AND(AUTOEVENTO="Manual",$M25=1),0,IF(OFFSET(CRONOPLE!$F$14,$M25,DR$13)="",10^12,OFFSET(CRONOPLE!$F$14,$M25,DR$13))))</f>
        <v>0</v>
      </c>
      <c r="DS25" s="211">
        <f ca="1">IF($D25&lt;&gt;"Serviço",0,IF(AND(AUTOEVENTO="Manual",$M25=1),0,IF(OFFSET(CRONOPLE!$F$14,$M25,DS$13)="",10^12,OFFSET(CRONOPLE!$F$14,$M25,DS$13))))</f>
        <v>0</v>
      </c>
      <c r="DT25" s="211">
        <f ca="1">IF($D25&lt;&gt;"Serviço",0,IF(AND(AUTOEVENTO="Manual",$M25=1),0,IF(OFFSET(CRONOPLE!$F$14,$M25,DT$13)="",10^12,OFFSET(CRONOPLE!$F$14,$M25,DT$13))))</f>
        <v>0</v>
      </c>
      <c r="DU25" s="211">
        <f ca="1">IF($D25&lt;&gt;"Serviço",0,IF(AND(AUTOEVENTO="Manual",$M25=1),0,IF(OFFSET(CRONOPLE!$F$14,$M25,DU$13)="",10^12,OFFSET(CRONOPLE!$F$14,$M25,DU$13))))</f>
        <v>0</v>
      </c>
      <c r="DV25" s="211">
        <f ca="1">IF($D25&lt;&gt;"Serviço",0,IF(AND(AUTOEVENTO="Manual",$M25=1),0,IF(OFFSET(CRONOPLE!$F$14,$M25,DV$13)="",10^12,OFFSET(CRONOPLE!$F$14,$M25,DV$13))))</f>
        <v>0</v>
      </c>
      <c r="DW25" s="211">
        <f ca="1">IF($D25&lt;&gt;"Serviço",0,IF(AND(AUTOEVENTO="Manual",$M25=1),0,IF(OFFSET(CRONOPLE!$F$14,$M25,DW$13)="",10^12,OFFSET(CRONOPLE!$F$14,$M25,DW$13))))</f>
        <v>0</v>
      </c>
      <c r="DX25" s="211">
        <f ca="1">IF($D25&lt;&gt;"Serviço",0,IF(AND(AUTOEVENTO="Manual",$M25=1),0,IF(OFFSET(CRONOPLE!$F$14,$M25,DX$13)="",10^12,OFFSET(CRONOPLE!$F$14,$M25,DX$13))))</f>
        <v>0</v>
      </c>
      <c r="DY25" s="211">
        <f ca="1">IF($D25&lt;&gt;"Serviço",0,IF(AND(AUTOEVENTO="Manual",$M25=1),0,IF(OFFSET(CRONOPLE!$F$14,$M25,DY$13)="",10^12,OFFSET(CRONOPLE!$F$14,$M25,DY$13))))</f>
        <v>0</v>
      </c>
      <c r="DZ25" s="211">
        <f ca="1">IF($D25&lt;&gt;"Serviço",0,IF(AND(AUTOEVENTO="Manual",$M25=1),0,IF(OFFSET(CRONOPLE!$F$14,$M25,DZ$13)="",10^12,OFFSET(CRONOPLE!$F$14,$M25,DZ$13))))</f>
        <v>0</v>
      </c>
      <c r="EA25" s="211">
        <f ca="1">IF($D25&lt;&gt;"Serviço",0,IF(AND(AUTOEVENTO="Manual",$M25=1),0,IF(OFFSET(CRONOPLE!$F$14,$M25,EA$13)="",10^12,OFFSET(CRONOPLE!$F$14,$M25,EA$13))))</f>
        <v>0</v>
      </c>
      <c r="EB25" s="211">
        <f ca="1">IF($D25&lt;&gt;"Serviço",0,IF(AND(AUTOEVENTO="Manual",$M25=1),0,IF(OFFSET(CRONOPLE!$F$14,$M25,EB$13)="",10^12,OFFSET(CRONOPLE!$F$14,$M25,EB$13))))</f>
        <v>0</v>
      </c>
      <c r="EC25" s="211">
        <f ca="1">IF($D25&lt;&gt;"Serviço",0,IF(AND(AUTOEVENTO="Manual",$M25=1),0,IF(OFFSET(CRONOPLE!$F$14,$M25,EC$13)="",10^12,OFFSET(CRONOPLE!$F$14,$M25,EC$13))))</f>
        <v>0</v>
      </c>
      <c r="ED25" s="211">
        <f ca="1">IF($D25&lt;&gt;"Serviço",0,IF(AND(AUTOEVENTO="Manual",$M25=1),0,IF(OFFSET(CRONOPLE!$F$14,$M25,ED$13)="",10^12,OFFSET(CRONOPLE!$F$14,$M25,ED$13))))</f>
        <v>0</v>
      </c>
      <c r="EE25" s="211">
        <f ca="1">IF($D25&lt;&gt;"Serviço",0,IF(AND(AUTOEVENTO="Manual",$M25=1),0,IF(OFFSET(CRONOPLE!$F$14,$M25,EE$13)="",10^12,OFFSET(CRONOPLE!$F$14,$M25,EE$13))))</f>
        <v>0</v>
      </c>
      <c r="EF25" s="211">
        <f ca="1">IF($D25&lt;&gt;"Serviço",0,IF(AND(AUTOEVENTO="Manual",$M25=1),0,IF(OFFSET(CRONOPLE!$F$14,$M25,EF$13)="",10^12,OFFSET(CRONOPLE!$F$14,$M25,EF$13))))</f>
        <v>0</v>
      </c>
      <c r="EG25" s="211">
        <f ca="1">IF($D25&lt;&gt;"Serviço",0,IF(AND(AUTOEVENTO="Manual",$M25=1),0,IF(OFFSET(CRONOPLE!$F$14,$M25,EG$13)="",10^12,OFFSET(CRONOPLE!$F$14,$M25,EG$13))))</f>
        <v>0</v>
      </c>
      <c r="EH25" s="211">
        <f ca="1">IF($D25&lt;&gt;"Serviço",0,IF(AND(AUTOEVENTO="Manual",$M25=1),0,IF(OFFSET(CRONOPLE!$F$14,$M25,EH$13)="",10^12,OFFSET(CRONOPLE!$F$14,$M25,EH$13))))</f>
        <v>0</v>
      </c>
      <c r="EI25" s="211">
        <f ca="1">IF($D25&lt;&gt;"Serviço",0,IF(AND(AUTOEVENTO="Manual",$M25=1),0,IF(OFFSET(CRONOPLE!$F$14,$M25,EI$13)="",10^12,OFFSET(CRONOPLE!$F$14,$M25,EI$13))))</f>
        <v>0</v>
      </c>
      <c r="EJ25" s="211">
        <f ca="1">IF($D25&lt;&gt;"Serviço",0,IF(AND(AUTOEVENTO="Manual",$M25=1),0,IF(OFFSET(CRONOPLE!$F$14,$M25,EJ$13)="",10^12,OFFSET(CRONOPLE!$F$14,$M25,EJ$13))))</f>
        <v>0</v>
      </c>
      <c r="EK25" s="211">
        <f ca="1">IF($D25&lt;&gt;"Serviço",0,IF(AND(AUTOEVENTO="Manual",$M25=1),0,IF(OFFSET(CRONOPLE!$F$14,$M25,EK$13)="",10^12,OFFSET(CRONOPLE!$F$14,$M25,EK$13))))</f>
        <v>0</v>
      </c>
      <c r="EL25" s="211">
        <f ca="1">IF($D25&lt;&gt;"Serviço",0,IF(AND(AUTOEVENTO="Manual",$M25=1),0,IF(OFFSET(CRONOPLE!$F$14,$M25,EL$13)="",10^12,OFFSET(CRONOPLE!$F$14,$M25,EL$13))))</f>
        <v>0</v>
      </c>
      <c r="EM25" s="211">
        <f ca="1">IF($D25&lt;&gt;"Serviço",0,IF(AND(AUTOEVENTO="Manual",$M25=1),0,IF(OFFSET(CRONOPLE!$F$14,$M25,EM$13)="",10^12,OFFSET(CRONOPLE!$F$14,$M25,EM$13))))</f>
        <v>0</v>
      </c>
      <c r="EN25" s="211">
        <f ca="1">IF($D25&lt;&gt;"Serviço",0,IF(AND(AUTOEVENTO="Manual",$M25=1),0,IF(OFFSET(CRONOPLE!$F$14,$M25,EN$13)="",10^12,OFFSET(CRONOPLE!$F$14,$M25,EN$13))))</f>
        <v>0</v>
      </c>
      <c r="EO25" s="211">
        <f ca="1">IF($D25&lt;&gt;"Serviço",0,IF(AND(AUTOEVENTO="Manual",$M25=1),0,IF(OFFSET(CRONOPLE!$F$14,$M25,EO$13)="",10^12,OFFSET(CRONOPLE!$F$14,$M25,EO$13))))</f>
        <v>0</v>
      </c>
      <c r="EP25" s="211">
        <f ca="1">IF($D25&lt;&gt;"Serviço",0,IF(AND(AUTOEVENTO="Manual",$M25=1),0,IF(OFFSET(CRONOPLE!$F$14,$M25,EP$13)="",10^12,OFFSET(CRONOPLE!$F$14,$M25,EP$13))))</f>
        <v>0</v>
      </c>
      <c r="EQ25" s="211">
        <f ca="1">IF($D25&lt;&gt;"Serviço",0,IF(AND(AUTOEVENTO="Manual",$M25=1),0,IF(OFFSET(CRONOPLE!$F$14,$M25,EQ$13)="",10^12,OFFSET(CRONOPLE!$F$14,$M25,EQ$13))))</f>
        <v>0</v>
      </c>
      <c r="ER25" s="211">
        <f ca="1">IF($D25&lt;&gt;"Serviço",0,IF(AND(AUTOEVENTO="Manual",$M25=1),0,IF(OFFSET(CRONOPLE!$F$14,$M25,ER$13)="",10^12,OFFSET(CRONOPLE!$F$14,$M25,ER$13))))</f>
        <v>0</v>
      </c>
      <c r="ES25" s="211">
        <f ca="1">IF($D25&lt;&gt;"Serviço",0,IF(AND(AUTOEVENTO="Manual",$M25=1),0,IF(OFFSET(CRONOPLE!$F$14,$M25,ES$13)="",10^12,OFFSET(CRONOPLE!$F$14,$M25,ES$13))))</f>
        <v>0</v>
      </c>
      <c r="ET25" s="211">
        <f ca="1">IF($D25&lt;&gt;"Serviço",0,IF(AND(AUTOEVENTO="Manual",$M25=1),0,IF(OFFSET(CRONOPLE!$F$14,$M25,ET$13)="",10^12,OFFSET(CRONOPLE!$F$14,$M25,ET$13))))</f>
        <v>0</v>
      </c>
      <c r="EU25" s="211">
        <f ca="1">IF($D25&lt;&gt;"Serviço",0,IF(AND(AUTOEVENTO="Manual",$M25=1),0,IF(OFFSET(CRONOPLE!$F$14,$M25,EU$13)="",10^12,OFFSET(CRONOPLE!$F$14,$M25,EU$13))))</f>
        <v>0</v>
      </c>
      <c r="EV25" s="211">
        <f ca="1">IF($D25&lt;&gt;"Serviço",0,IF(AND(AUTOEVENTO="Manual",$M25=1),0,IF(OFFSET(CRONOPLE!$F$14,$M25,EV$13)="",10^12,OFFSET(CRONOPLE!$F$14,$M25,EV$13))))</f>
        <v>0</v>
      </c>
      <c r="EW25" s="211">
        <f ca="1">IF($D25&lt;&gt;"Serviço",0,IF(AND(AUTOEVENTO="Manual",$M25=1),0,IF(OFFSET(CRONOPLE!$F$14,$M25,EW$13)="",10^12,OFFSET(CRONOPLE!$F$14,$M25,EW$13))))</f>
        <v>0</v>
      </c>
      <c r="EX25" s="211">
        <f ca="1">IF($D25&lt;&gt;"Serviço",0,IF(AND(AUTOEVENTO="Manual",$M25=1),0,IF(OFFSET(CRONOPLE!$F$14,$M25,EX$13)="",10^12,OFFSET(CRONOPLE!$F$14,$M25,EX$13))))</f>
        <v>0</v>
      </c>
      <c r="EY25" s="211">
        <f ca="1">IF($D25&lt;&gt;"Serviço",0,IF(AND(AUTOEVENTO="Manual",$M25=1),0,IF(OFFSET(CRONOPLE!$F$14,$M25,EY$13)="",10^12,OFFSET(CRONOPLE!$F$14,$M25,EY$13))))</f>
        <v>0</v>
      </c>
      <c r="EZ25" s="211">
        <f ca="1">IF($D25&lt;&gt;"Serviço",0,IF(AND(AUTOEVENTO="Manual",$M25=1),0,IF(OFFSET(CRONOPLE!$F$14,$M25,EZ$13)="",10^12,OFFSET(CRONOPLE!$F$14,$M25,EZ$13))))</f>
        <v>0</v>
      </c>
      <c r="FA25" s="211">
        <f ca="1">IF($D25&lt;&gt;"Serviço",0,IF(AND(AUTOEVENTO="Manual",$M25=1),0,IF(OFFSET(CRONOPLE!$F$14,$M25,FA$13)="",10^12,OFFSET(CRONOPLE!$F$14,$M25,FA$13))))</f>
        <v>0</v>
      </c>
      <c r="FB25" s="211">
        <f ca="1">IF($D25&lt;&gt;"Serviço",0,IF(AND(AUTOEVENTO="Manual",$M25=1),0,IF(OFFSET(CRONOPLE!$F$14,$M25,FB$13)="",10^12,OFFSET(CRONOPLE!$F$14,$M25,FB$13))))</f>
        <v>0</v>
      </c>
      <c r="FC25" s="211">
        <f ca="1">IF($D25&lt;&gt;"Serviço",0,IF(AND(AUTOEVENTO="Manual",$M25=1),0,IF(OFFSET(CRONOPLE!$F$14,$M25,FC$13)="",10^12,OFFSET(CRONOPLE!$F$14,$M25,FC$13))))</f>
        <v>0</v>
      </c>
      <c r="FD25" s="211">
        <f ca="1">IF($D25&lt;&gt;"Serviço",0,IF(AND(AUTOEVENTO="Manual",$M25=1),0,IF(OFFSET(CRONOPLE!$F$14,$M25,FD$13)="",10^12,OFFSET(CRONOPLE!$F$14,$M25,FD$13))))</f>
        <v>0</v>
      </c>
      <c r="FE25" s="211">
        <f ca="1">IF($D25&lt;&gt;"Serviço",0,IF(AND(AUTOEVENTO="Manual",$M25=1),0,IF(OFFSET(CRONOPLE!$F$14,$M25,FE$13)="",10^12,OFFSET(CRONOPLE!$F$14,$M25,FE$13))))</f>
        <v>0</v>
      </c>
      <c r="FF25" s="211">
        <f ca="1">IF($D25&lt;&gt;"Serviço",0,IF(AND(AUTOEVENTO="Manual",$M25=1),0,IF(OFFSET(CRONOPLE!$F$14,$M25,FF$13)="",10^12,OFFSET(CRONOPLE!$F$14,$M25,FF$13))))</f>
        <v>0</v>
      </c>
      <c r="FG25" s="211">
        <f ca="1">IF($D25&lt;&gt;"Serviço",0,IF(AND(AUTOEVENTO="Manual",$M25=1),0,IF(OFFSET(CRONOPLE!$F$14,$M25,FG$13)="",10^12,OFFSET(CRONOPLE!$F$14,$M25,FG$13))))</f>
        <v>0</v>
      </c>
      <c r="FH25" s="211">
        <f ca="1">IF($D25&lt;&gt;"Serviço",0,IF(AND(AUTOEVENTO="Manual",$M25=1),0,IF(OFFSET(CRONOPLE!$F$14,$M25,FH$13)="",10^12,OFFSET(CRONOPLE!$F$14,$M25,FH$13))))</f>
        <v>0</v>
      </c>
      <c r="FI25" s="211">
        <f ca="1">IF($D25&lt;&gt;"Serviço",0,IF(AND(AUTOEVENTO="Manual",$M25=1),0,IF(OFFSET(CRONOPLE!$F$14,$M25,FI$13)="",10^12,OFFSET(CRONOPLE!$F$14,$M25,FI$13))))</f>
        <v>0</v>
      </c>
      <c r="FJ25" s="211">
        <f ca="1">IF($D25&lt;&gt;"Serviço",0,IF(AND(AUTOEVENTO="Manual",$M25=1),0,IF(OFFSET(CRONOPLE!$F$14,$M25,FJ$13)="",10^12,OFFSET(CRONOPLE!$F$14,$M25,FJ$13))))</f>
        <v>0</v>
      </c>
      <c r="FK25" s="211">
        <f ca="1">IF($D25&lt;&gt;"Serviço",0,IF(AND(AUTOEVENTO="Manual",$M25=1),0,IF(OFFSET(CRONOPLE!$F$14,$M25,FK$13)="",10^12,OFFSET(CRONOPLE!$F$14,$M25,FK$13))))</f>
        <v>0</v>
      </c>
      <c r="FL25" s="211">
        <f ca="1">IF($D25&lt;&gt;"Serviço",0,IF(AND(AUTOEVENTO="Manual",$M25=1),0,IF(OFFSET(CRONOPLE!$F$14,$M25,FL$13)="",10^12,OFFSET(CRONOPLE!$F$14,$M25,FL$13))))</f>
        <v>0</v>
      </c>
      <c r="FN25" s="212">
        <f ca="1">IF($D25&lt;&gt;"Serviço",0,IF(OR(AND(AUTOEVENTO="Manual",$M25=1),$M25&gt;(ROW(PLE.lastrow)-ROW(PLE.firstrow))),0,IF(OFFSET(PLE!$G$14,$M25,FN$13)="",10^12,OFFSET(PLE!$G$14,$M25,FN$13))))</f>
        <v>0</v>
      </c>
      <c r="FO25" s="212">
        <f ca="1">IF($D25&lt;&gt;"Serviço",0,IF(OR(AND(AUTOEVENTO="Manual",$M25=1),$M25&gt;(ROW(PLE.lastrow)-ROW(PLE.firstrow))),0,IF(OFFSET(PLE!$G$14,$M25,FO$13)="",10^12,OFFSET(PLE!$G$14,$M25,FO$13))))</f>
        <v>0</v>
      </c>
      <c r="FP25" s="212">
        <f ca="1">IF($D25&lt;&gt;"Serviço",0,IF(OR(AND(AUTOEVENTO="Manual",$M25=1),$M25&gt;(ROW(PLE.lastrow)-ROW(PLE.firstrow))),0,IF(OFFSET(PLE!$G$14,$M25,FP$13)="",10^12,OFFSET(PLE!$G$14,$M25,FP$13))))</f>
        <v>0</v>
      </c>
      <c r="FQ25" s="212">
        <f ca="1">IF($D25&lt;&gt;"Serviço",0,IF(OR(AND(AUTOEVENTO="Manual",$M25=1),$M25&gt;(ROW(PLE.lastrow)-ROW(PLE.firstrow))),0,IF(OFFSET(PLE!$G$14,$M25,FQ$13)="",10^12,OFFSET(PLE!$G$14,$M25,FQ$13))))</f>
        <v>0</v>
      </c>
      <c r="FR25" s="212">
        <f ca="1">IF($D25&lt;&gt;"Serviço",0,IF(OR(AND(AUTOEVENTO="Manual",$M25=1),$M25&gt;(ROW(PLE.lastrow)-ROW(PLE.firstrow))),0,IF(OFFSET(PLE!$G$14,$M25,FR$13)="",10^12,OFFSET(PLE!$G$14,$M25,FR$13))))</f>
        <v>0</v>
      </c>
      <c r="FS25" s="212">
        <f ca="1">IF($D25&lt;&gt;"Serviço",0,IF(OR(AND(AUTOEVENTO="Manual",$M25=1),$M25&gt;(ROW(PLE.lastrow)-ROW(PLE.firstrow))),0,IF(OFFSET(PLE!$G$14,$M25,FS$13)="",10^12,OFFSET(PLE!$G$14,$M25,FS$13))))</f>
        <v>0</v>
      </c>
      <c r="FT25" s="212">
        <f ca="1">IF($D25&lt;&gt;"Serviço",0,IF(OR(AND(AUTOEVENTO="Manual",$M25=1),$M25&gt;(ROW(PLE.lastrow)-ROW(PLE.firstrow))),0,IF(OFFSET(PLE!$G$14,$M25,FT$13)="",10^12,OFFSET(PLE!$G$14,$M25,FT$13))))</f>
        <v>0</v>
      </c>
      <c r="FU25" s="212">
        <f ca="1">IF($D25&lt;&gt;"Serviço",0,IF(OR(AND(AUTOEVENTO="Manual",$M25=1),$M25&gt;(ROW(PLE.lastrow)-ROW(PLE.firstrow))),0,IF(OFFSET(PLE!$G$14,$M25,FU$13)="",10^12,OFFSET(PLE!$G$14,$M25,FU$13))))</f>
        <v>0</v>
      </c>
      <c r="FV25" s="212">
        <f ca="1">IF($D25&lt;&gt;"Serviço",0,IF(OR(AND(AUTOEVENTO="Manual",$M25=1),$M25&gt;(ROW(PLE.lastrow)-ROW(PLE.firstrow))),0,IF(OFFSET(PLE!$G$14,$M25,FV$13)="",10^12,OFFSET(PLE!$G$14,$M25,FV$13))))</f>
        <v>0</v>
      </c>
      <c r="FW25" s="212">
        <f ca="1">IF($D25&lt;&gt;"Serviço",0,IF(OR(AND(AUTOEVENTO="Manual",$M25=1),$M25&gt;(ROW(PLE.lastrow)-ROW(PLE.firstrow))),0,IF(OFFSET(PLE!$G$14,$M25,FW$13)="",10^12,OFFSET(PLE!$G$14,$M25,FW$13))))</f>
        <v>0</v>
      </c>
      <c r="FX25" s="212">
        <f ca="1">IF($D25&lt;&gt;"Serviço",0,IF(OR(AND(AUTOEVENTO="Manual",$M25=1),$M25&gt;(ROW(PLE.lastrow)-ROW(PLE.firstrow))),0,IF(OFFSET(PLE!$G$14,$M25,FX$13)="",10^12,OFFSET(PLE!$G$14,$M25,FX$13))))</f>
        <v>0</v>
      </c>
      <c r="FY25" s="212">
        <f ca="1">IF($D25&lt;&gt;"Serviço",0,IF(OR(AND(AUTOEVENTO="Manual",$M25=1),$M25&gt;(ROW(PLE.lastrow)-ROW(PLE.firstrow))),0,IF(OFFSET(PLE!$G$14,$M25,FY$13)="",10^12,OFFSET(PLE!$G$14,$M25,FY$13))))</f>
        <v>0</v>
      </c>
      <c r="FZ25" s="212">
        <f ca="1">IF($D25&lt;&gt;"Serviço",0,IF(OR(AND(AUTOEVENTO="Manual",$M25=1),$M25&gt;(ROW(PLE.lastrow)-ROW(PLE.firstrow))),0,IF(OFFSET(PLE!$G$14,$M25,FZ$13)="",10^12,OFFSET(PLE!$G$14,$M25,FZ$13))))</f>
        <v>0</v>
      </c>
      <c r="GA25" s="212">
        <f ca="1">IF($D25&lt;&gt;"Serviço",0,IF(OR(AND(AUTOEVENTO="Manual",$M25=1),$M25&gt;(ROW(PLE.lastrow)-ROW(PLE.firstrow))),0,IF(OFFSET(PLE!$G$14,$M25,GA$13)="",10^12,OFFSET(PLE!$G$14,$M25,GA$13))))</f>
        <v>0</v>
      </c>
      <c r="GB25" s="212">
        <f ca="1">IF($D25&lt;&gt;"Serviço",0,IF(OR(AND(AUTOEVENTO="Manual",$M25=1),$M25&gt;(ROW(PLE.lastrow)-ROW(PLE.firstrow))),0,IF(OFFSET(PLE!$G$14,$M25,GB$13)="",10^12,OFFSET(PLE!$G$14,$M25,GB$13))))</f>
        <v>0</v>
      </c>
      <c r="GC25" s="212">
        <f ca="1">IF($D25&lt;&gt;"Serviço",0,IF(OR(AND(AUTOEVENTO="Manual",$M25=1),$M25&gt;(ROW(PLE.lastrow)-ROW(PLE.firstrow))),0,IF(OFFSET(PLE!$G$14,$M25,GC$13)="",10^12,OFFSET(PLE!$G$14,$M25,GC$13))))</f>
        <v>0</v>
      </c>
      <c r="GD25" s="212">
        <f ca="1">IF($D25&lt;&gt;"Serviço",0,IF(OR(AND(AUTOEVENTO="Manual",$M25=1),$M25&gt;(ROW(PLE.lastrow)-ROW(PLE.firstrow))),0,IF(OFFSET(PLE!$G$14,$M25,GD$13)="",10^12,OFFSET(PLE!$G$14,$M25,GD$13))))</f>
        <v>0</v>
      </c>
      <c r="GE25" s="212">
        <f ca="1">IF($D25&lt;&gt;"Serviço",0,IF(OR(AND(AUTOEVENTO="Manual",$M25=1),$M25&gt;(ROW(PLE.lastrow)-ROW(PLE.firstrow))),0,IF(OFFSET(PLE!$G$14,$M25,GE$13)="",10^12,OFFSET(PLE!$G$14,$M25,GE$13))))</f>
        <v>0</v>
      </c>
      <c r="GF25" s="212">
        <f ca="1">IF($D25&lt;&gt;"Serviço",0,IF(OR(AND(AUTOEVENTO="Manual",$M25=1),$M25&gt;(ROW(PLE.lastrow)-ROW(PLE.firstrow))),0,IF(OFFSET(PLE!$G$14,$M25,GF$13)="",10^12,OFFSET(PLE!$G$14,$M25,GF$13))))</f>
        <v>0</v>
      </c>
      <c r="GG25" s="212">
        <f ca="1">IF($D25&lt;&gt;"Serviço",0,IF(OR(AND(AUTOEVENTO="Manual",$M25=1),$M25&gt;(ROW(PLE.lastrow)-ROW(PLE.firstrow))),0,IF(OFFSET(PLE!$G$14,$M25,GG$13)="",10^12,OFFSET(PLE!$G$14,$M25,GG$13))))</f>
        <v>0</v>
      </c>
      <c r="GH25" s="212">
        <f ca="1">IF($D25&lt;&gt;"Serviço",0,IF(OR(AND(AUTOEVENTO="Manual",$M25=1),$M25&gt;(ROW(PLE.lastrow)-ROW(PLE.firstrow))),0,IF(OFFSET(PLE!$G$14,$M25,GH$13)="",10^12,OFFSET(PLE!$G$14,$M25,GH$13))))</f>
        <v>0</v>
      </c>
      <c r="GI25" s="212">
        <f ca="1">IF($D25&lt;&gt;"Serviço",0,IF(OR(AND(AUTOEVENTO="Manual",$M25=1),$M25&gt;(ROW(PLE.lastrow)-ROW(PLE.firstrow))),0,IF(OFFSET(PLE!$G$14,$M25,GI$13)="",10^12,OFFSET(PLE!$G$14,$M25,GI$13))))</f>
        <v>0</v>
      </c>
      <c r="GJ25" s="212">
        <f ca="1">IF($D25&lt;&gt;"Serviço",0,IF(OR(AND(AUTOEVENTO="Manual",$M25=1),$M25&gt;(ROW(PLE.lastrow)-ROW(PLE.firstrow))),0,IF(OFFSET(PLE!$G$14,$M25,GJ$13)="",10^12,OFFSET(PLE!$G$14,$M25,GJ$13))))</f>
        <v>0</v>
      </c>
      <c r="GK25" s="212">
        <f ca="1">IF($D25&lt;&gt;"Serviço",0,IF(OR(AND(AUTOEVENTO="Manual",$M25=1),$M25&gt;(ROW(PLE.lastrow)-ROW(PLE.firstrow))),0,IF(OFFSET(PLE!$G$14,$M25,GK$13)="",10^12,OFFSET(PLE!$G$14,$M25,GK$13))))</f>
        <v>0</v>
      </c>
      <c r="GL25" s="212">
        <f ca="1">IF($D25&lt;&gt;"Serviço",0,IF(OR(AND(AUTOEVENTO="Manual",$M25=1),$M25&gt;(ROW(PLE.lastrow)-ROW(PLE.firstrow))),0,IF(OFFSET(PLE!$G$14,$M25,GL$13)="",10^12,OFFSET(PLE!$G$14,$M25,GL$13))))</f>
        <v>0</v>
      </c>
      <c r="GM25" s="212">
        <f ca="1">IF($D25&lt;&gt;"Serviço",0,IF(OR(AND(AUTOEVENTO="Manual",$M25=1),$M25&gt;(ROW(PLE.lastrow)-ROW(PLE.firstrow))),0,IF(OFFSET(PLE!$G$14,$M25,GM$13)="",10^12,OFFSET(PLE!$G$14,$M25,GM$13))))</f>
        <v>0</v>
      </c>
      <c r="GN25" s="212">
        <f ca="1">IF($D25&lt;&gt;"Serviço",0,IF(OR(AND(AUTOEVENTO="Manual",$M25=1),$M25&gt;(ROW(PLE.lastrow)-ROW(PLE.firstrow))),0,IF(OFFSET(PLE!$G$14,$M25,GN$13)="",10^12,OFFSET(PLE!$G$14,$M25,GN$13))))</f>
        <v>0</v>
      </c>
      <c r="GO25" s="212">
        <f ca="1">IF($D25&lt;&gt;"Serviço",0,IF(OR(AND(AUTOEVENTO="Manual",$M25=1),$M25&gt;(ROW(PLE.lastrow)-ROW(PLE.firstrow))),0,IF(OFFSET(PLE!$G$14,$M25,GO$13)="",10^12,OFFSET(PLE!$G$14,$M25,GO$13))))</f>
        <v>0</v>
      </c>
      <c r="GP25" s="212">
        <f ca="1">IF($D25&lt;&gt;"Serviço",0,IF(OR(AND(AUTOEVENTO="Manual",$M25=1),$M25&gt;(ROW(PLE.lastrow)-ROW(PLE.firstrow))),0,IF(OFFSET(PLE!$G$14,$M25,GP$13)="",10^12,OFFSET(PLE!$G$14,$M25,GP$13))))</f>
        <v>0</v>
      </c>
      <c r="GQ25" s="212">
        <f ca="1">IF($D25&lt;&gt;"Serviço",0,IF(OR(AND(AUTOEVENTO="Manual",$M25=1),$M25&gt;(ROW(PLE.lastrow)-ROW(PLE.firstrow))),0,IF(OFFSET(PLE!$G$14,$M25,GQ$13)="",10^12,OFFSET(PLE!$G$14,$M25,GQ$13))))</f>
        <v>0</v>
      </c>
      <c r="GR25" s="212">
        <f ca="1">IF($D25&lt;&gt;"Serviço",0,IF(OR(AND(AUTOEVENTO="Manual",$M25=1),$M25&gt;(ROW(PLE.lastrow)-ROW(PLE.firstrow))),0,IF(OFFSET(PLE!$G$14,$M25,GR$13)="",10^12,OFFSET(PLE!$G$14,$M25,GR$13))))</f>
        <v>0</v>
      </c>
      <c r="GS25" s="212">
        <f ca="1">IF($D25&lt;&gt;"Serviço",0,IF(OR(AND(AUTOEVENTO="Manual",$M25=1),$M25&gt;(ROW(PLE.lastrow)-ROW(PLE.firstrow))),0,IF(OFFSET(PLE!$G$14,$M25,GS$13)="",10^12,OFFSET(PLE!$G$14,$M25,GS$13))))</f>
        <v>0</v>
      </c>
      <c r="GT25" s="212">
        <f ca="1">IF($D25&lt;&gt;"Serviço",0,IF(OR(AND(AUTOEVENTO="Manual",$M25=1),$M25&gt;(ROW(PLE.lastrow)-ROW(PLE.firstrow))),0,IF(OFFSET(PLE!$G$14,$M25,GT$13)="",10^12,OFFSET(PLE!$G$14,$M25,GT$13))))</f>
        <v>0</v>
      </c>
      <c r="GU25" s="212">
        <f ca="1">IF($D25&lt;&gt;"Serviço",0,IF(OR(AND(AUTOEVENTO="Manual",$M25=1),$M25&gt;(ROW(PLE.lastrow)-ROW(PLE.firstrow))),0,IF(OFFSET(PLE!$G$14,$M25,GU$13)="",10^12,OFFSET(PLE!$G$14,$M25,GU$13))))</f>
        <v>0</v>
      </c>
      <c r="GV25" s="212">
        <f ca="1">IF($D25&lt;&gt;"Serviço",0,IF(OR(AND(AUTOEVENTO="Manual",$M25=1),$M25&gt;(ROW(PLE.lastrow)-ROW(PLE.firstrow))),0,IF(OFFSET(PLE!$G$14,$M25,GV$13)="",10^12,OFFSET(PLE!$G$14,$M25,GV$13))))</f>
        <v>0</v>
      </c>
      <c r="GW25" s="212">
        <f ca="1">IF($D25&lt;&gt;"Serviço",0,IF(OR(AND(AUTOEVENTO="Manual",$M25=1),$M25&gt;(ROW(PLE.lastrow)-ROW(PLE.firstrow))),0,IF(OFFSET(PLE!$G$14,$M25,GW$13)="",10^12,OFFSET(PLE!$G$14,$M25,GW$13))))</f>
        <v>0</v>
      </c>
      <c r="GX25" s="212">
        <f ca="1">IF($D25&lt;&gt;"Serviço",0,IF(OR(AND(AUTOEVENTO="Manual",$M25=1),$M25&gt;(ROW(PLE.lastrow)-ROW(PLE.firstrow))),0,IF(OFFSET(PLE!$G$14,$M25,GX$13)="",10^12,OFFSET(PLE!$G$14,$M25,GX$13))))</f>
        <v>0</v>
      </c>
      <c r="GY25" s="212">
        <f ca="1">IF($D25&lt;&gt;"Serviço",0,IF(OR(AND(AUTOEVENTO="Manual",$M25=1),$M25&gt;(ROW(PLE.lastrow)-ROW(PLE.firstrow))),0,IF(OFFSET(PLE!$G$14,$M25,GY$13)="",10^12,OFFSET(PLE!$G$14,$M25,GY$13))))</f>
        <v>0</v>
      </c>
      <c r="GZ25" s="212">
        <f ca="1">IF($D25&lt;&gt;"Serviço",0,IF(OR(AND(AUTOEVENTO="Manual",$M25=1),$M25&gt;(ROW(PLE.lastrow)-ROW(PLE.firstrow))),0,IF(OFFSET(PLE!$G$14,$M25,GZ$13)="",10^12,OFFSET(PLE!$G$14,$M25,GZ$13))))</f>
        <v>0</v>
      </c>
      <c r="HA25" s="212">
        <f ca="1">IF($D25&lt;&gt;"Serviço",0,IF(OR(AND(AUTOEVENTO="Manual",$M25=1),$M25&gt;(ROW(PLE.lastrow)-ROW(PLE.firstrow))),0,IF(OFFSET(PLE!$G$14,$M25,HA$13)="",10^12,OFFSET(PLE!$G$14,$M25,HA$13))))</f>
        <v>0</v>
      </c>
      <c r="HB25" s="212">
        <f ca="1">IF($D25&lt;&gt;"Serviço",0,IF(OR(AND(AUTOEVENTO="Manual",$M25=1),$M25&gt;(ROW(PLE.lastrow)-ROW(PLE.firstrow))),0,IF(OFFSET(PLE!$G$14,$M25,HB$13)="",10^12,OFFSET(PLE!$G$14,$M25,HB$13))))</f>
        <v>0</v>
      </c>
      <c r="HC25" s="212">
        <f ca="1">IF($D25&lt;&gt;"Serviço",0,IF(OR(AND(AUTOEVENTO="Manual",$M25=1),$M25&gt;(ROW(PLE.lastrow)-ROW(PLE.firstrow))),0,IF(OFFSET(PLE!$G$14,$M25,HC$13)="",10^12,OFFSET(PLE!$G$14,$M25,HC$13))))</f>
        <v>0</v>
      </c>
      <c r="HD25" s="212">
        <f ca="1">IF($D25&lt;&gt;"Serviço",0,IF(OR(AND(AUTOEVENTO="Manual",$M25=1),$M25&gt;(ROW(PLE.lastrow)-ROW(PLE.firstrow))),0,IF(OFFSET(PLE!$G$14,$M25,HD$13)="",10^12,OFFSET(PLE!$G$14,$M25,HD$13))))</f>
        <v>0</v>
      </c>
      <c r="HE25" s="212">
        <f ca="1">IF($D25&lt;&gt;"Serviço",0,IF(OR(AND(AUTOEVENTO="Manual",$M25=1),$M25&gt;(ROW(PLE.lastrow)-ROW(PLE.firstrow))),0,IF(OFFSET(PLE!$G$14,$M25,HE$13)="",10^12,OFFSET(PLE!$G$14,$M25,HE$13))))</f>
        <v>0</v>
      </c>
      <c r="HF25" s="212">
        <f ca="1">IF($D25&lt;&gt;"Serviço",0,IF(OR(AND(AUTOEVENTO="Manual",$M25=1),$M25&gt;(ROW(PLE.lastrow)-ROW(PLE.firstrow))),0,IF(OFFSET(PLE!$G$14,$M25,HF$13)="",10^12,OFFSET(PLE!$G$14,$M25,HF$13))))</f>
        <v>0</v>
      </c>
      <c r="HG25" s="212">
        <f ca="1">IF($D25&lt;&gt;"Serviço",0,IF(OR(AND(AUTOEVENTO="Manual",$M25=1),$M25&gt;(ROW(PLE.lastrow)-ROW(PLE.firstrow))),0,IF(OFFSET(PLE!$G$14,$M25,HG$13)="",10^12,OFFSET(PLE!$G$14,$M25,HG$13))))</f>
        <v>0</v>
      </c>
      <c r="HH25" s="212">
        <f ca="1">IF($D25&lt;&gt;"Serviço",0,IF(OR(AND(AUTOEVENTO="Manual",$M25=1),$M25&gt;(ROW(PLE.lastrow)-ROW(PLE.firstrow))),0,IF(OFFSET(PLE!$G$14,$M25,HH$13)="",10^12,OFFSET(PLE!$G$14,$M25,HH$13))))</f>
        <v>0</v>
      </c>
      <c r="HI25" s="212">
        <f ca="1">IF($D25&lt;&gt;"Serviço",0,IF(OR(AND(AUTOEVENTO="Manual",$M25=1),$M25&gt;(ROW(PLE.lastrow)-ROW(PLE.firstrow))),0,IF(OFFSET(PLE!$G$14,$M25,HI$13)="",10^12,OFFSET(PLE!$G$14,$M25,HI$13))))</f>
        <v>0</v>
      </c>
      <c r="HJ25" s="212">
        <f ca="1">IF($D25&lt;&gt;"Serviço",0,IF(OR(AND(AUTOEVENTO="Manual",$M25=1),$M25&gt;(ROW(PLE.lastrow)-ROW(PLE.firstrow))),0,IF(OFFSET(PLE!$G$14,$M25,HJ$13)="",10^12,OFFSET(PLE!$G$14,$M25,HJ$13))))</f>
        <v>0</v>
      </c>
      <c r="HK25" s="212">
        <f ca="1">IF($D25&lt;&gt;"Serviço",0,IF(OR(AND(AUTOEVENTO="Manual",$M25=1),$M25&gt;(ROW(PLE.lastrow)-ROW(PLE.firstrow))),0,IF(OFFSET(PLE!$G$14,$M25,HK$13)="",10^12,OFFSET(PLE!$G$14,$M25,HK$13))))</f>
        <v>0</v>
      </c>
    </row>
    <row r="26" spans="1:219" ht="242.25" x14ac:dyDescent="0.2">
      <c r="A26" s="9" t="str">
        <f t="shared" ca="1" si="9"/>
        <v>10</v>
      </c>
      <c r="B26" s="9" t="str">
        <f ca="1">OFFSET(ORÇAMENTO!C$15,ROW(B26)-ROW(B$15),0)</f>
        <v>S</v>
      </c>
      <c r="C26" s="9" t="str">
        <f ca="1">OFFSET(ORÇAMENTO!L$15,ROW(C26)-ROW(C$15),0)</f>
        <v>F</v>
      </c>
      <c r="D26" s="141" t="str">
        <f ca="1">OFFSET(ORÇAMENTO!N$15,ROW(D26)-ROW(D$15),0)</f>
        <v>Serviço</v>
      </c>
      <c r="E26" s="201" t="str">
        <f ca="1">OFFSET(ORÇAMENTO!O$15,ROW(E26)-ROW(E$15),0)</f>
        <v>1.4.1.</v>
      </c>
      <c r="F26" s="202" t="str">
        <f ca="1">OFFSET(ORÇAMENTO!R$15,ROW(F26)-ROW(F$15),0)</f>
        <v>(abra o arquivo 'Referência 11-2023.xls)</v>
      </c>
      <c r="G26" s="203" t="str">
        <f ca="1">IF($D26&lt;&gt;"Serviço","",OFFSET(ORÇAMENTO!S$15,ROW(G26)-ROW(G$15),0))</f>
        <v>-</v>
      </c>
      <c r="H26" s="147">
        <f ca="1">IF($D26&lt;&gt;"Serviço",0,IF(ACOMPANHAMENTO="BM",ROUND(OFFSET(ORÇAMENTO!AJ$15,ROW(H26)-ROW(H$15),0),15-13*ORÇAMENTO!$AF$7),SUMPRODUCT(($Q$12:$BO$12&lt;&gt;"")*ROUND($Q26:$BO26,15-13*ORÇAMENTO!$AF$7))))</f>
        <v>889.96999999999991</v>
      </c>
      <c r="I26" s="646" t="s">
        <v>490</v>
      </c>
      <c r="K26" s="204" t="s">
        <v>456</v>
      </c>
      <c r="L26" s="205" t="s">
        <v>257</v>
      </c>
      <c r="M26" s="206">
        <f ca="1">IF($D26&lt;&gt;"Serviço","",IF(AUTOEVENTO="manual",$A26,IF(ISERROR(MATCH($A26,$A$15:OFFSET($A26,-1,0),0)),MAX($M$15:OFFSET(M26,-1,0))+1,INDEX($M$15:OFFSET(M26,-1,0),MATCH($A26,$A$15:OFFSET($A26,-1,0),0)))))</f>
        <v>5</v>
      </c>
      <c r="N26" s="207" t="str">
        <f ca="1">IF($D26&lt;&gt;"Serviço","",IF(AUTOEVENTO="Manual",IF($A26=0,"&lt;-- defina o número do agrupador",OFFSET(EVENTOS!$D$14,$A26,0)),OFFSET($F$15,$A26,0)))</f>
        <v>DRENAGEM SUPERFICIAL</v>
      </c>
      <c r="O26" s="208"/>
      <c r="Q26" s="209">
        <f>34.43+48.32+11.13+33.65+6.55+4.51+5.43+8.01+10.74+14.36+9.17+8.45+13.45+10.57+9.05+8.19+8.21+6.05+5.18+23+43+33.8+10.4+48.28+34.39</f>
        <v>448.31999999999994</v>
      </c>
      <c r="R26" s="209">
        <v>323.26</v>
      </c>
      <c r="S26" s="209">
        <v>118.39</v>
      </c>
      <c r="T26" s="209"/>
      <c r="U26" s="209"/>
      <c r="V26" s="209"/>
      <c r="W26" s="209"/>
      <c r="X26" s="209"/>
      <c r="Y26" s="209"/>
      <c r="Z26" s="210"/>
      <c r="AA26" s="209"/>
      <c r="AB26" s="209"/>
      <c r="AC26" s="209"/>
      <c r="AD26" s="209"/>
      <c r="AE26" s="209"/>
      <c r="AF26" s="209"/>
      <c r="AG26" s="209"/>
      <c r="AH26" s="210"/>
      <c r="AI26" s="209"/>
      <c r="AJ26" s="209"/>
      <c r="AK26" s="209"/>
      <c r="AL26" s="209"/>
      <c r="AM26" s="209"/>
      <c r="AN26" s="209"/>
      <c r="AO26" s="209"/>
      <c r="AP26" s="210"/>
      <c r="AQ26" s="209"/>
      <c r="AR26" s="209"/>
      <c r="AS26" s="209"/>
      <c r="AT26" s="209"/>
      <c r="AU26" s="209"/>
      <c r="AV26" s="209"/>
      <c r="AW26" s="209"/>
      <c r="AX26" s="210"/>
      <c r="AY26" s="209"/>
      <c r="AZ26" s="209"/>
      <c r="BA26" s="209"/>
      <c r="BB26" s="209"/>
      <c r="BC26" s="209"/>
      <c r="BD26" s="209"/>
      <c r="BE26" s="209"/>
      <c r="BF26" s="210"/>
      <c r="BG26" s="209"/>
      <c r="BH26" s="209"/>
      <c r="BI26" s="209"/>
      <c r="BJ26" s="209"/>
      <c r="BK26" s="209"/>
      <c r="BL26" s="209"/>
      <c r="BM26" s="209"/>
      <c r="BN26" s="210"/>
      <c r="BP26" s="627">
        <f ca="1">IF(AND($D26="Serviço",BP$12&lt;&gt;0,$H26&gt;0,OR(AUTOEVENTO&lt;&gt;"manual",$M26&lt;&gt;1)),ROUND(OFFSET($P26,0,BP$13),15-13*ORÇAMENTO!$AF$7)/$H26*OFFSET(ORÇAMENTO!$X$15,ROW(BP26)-ROW(BP$15),0),0)</f>
        <v>25249.3771610279</v>
      </c>
      <c r="BQ26" s="628">
        <f ca="1">IF(AND($D26="Serviço",BQ$12&lt;&gt;0,$H26&gt;0,OR(AUTOEVENTO&lt;&gt;"manual",$M26&lt;&gt;1)),ROUND(OFFSET($P26,0,BQ$13),15-13*ORÇAMENTO!$AF$7)/$H26*OFFSET(ORÇAMENTO!$X$15,ROW(BQ26)-ROW(BQ$15),0),0)</f>
        <v>18205.999422452442</v>
      </c>
      <c r="BR26" s="628">
        <f ca="1">IF(AND($D26="Serviço",BR$12&lt;&gt;0,$H26&gt;0,OR(AUTOEVENTO&lt;&gt;"manual",$M26&lt;&gt;1)),ROUND(OFFSET($P26,0,BR$13),15-13*ORÇAMENTO!$AF$7)/$H26*OFFSET(ORÇAMENTO!$X$15,ROW(BR26)-ROW(BR$15),0),0)</f>
        <v>6667.7234165196587</v>
      </c>
      <c r="BS26" s="628">
        <f ca="1">IF(AND($D26="Serviço",BS$12&lt;&gt;0,$H26&gt;0,OR(AUTOEVENTO&lt;&gt;"manual",$M26&lt;&gt;1)),ROUND(OFFSET($P26,0,BS$13),15-13*ORÇAMENTO!$AF$7)/$H26*OFFSET(ORÇAMENTO!$X$15,ROW(BS26)-ROW(BS$15),0),0)</f>
        <v>0</v>
      </c>
      <c r="BT26" s="628">
        <f ca="1">IF(AND($D26="Serviço",BT$12&lt;&gt;0,$H26&gt;0,OR(AUTOEVENTO&lt;&gt;"manual",$M26&lt;&gt;1)),ROUND(OFFSET($P26,0,BT$13),15-13*ORÇAMENTO!$AF$7)/$H26*OFFSET(ORÇAMENTO!$X$15,ROW(BT26)-ROW(BT$15),0),0)</f>
        <v>0</v>
      </c>
      <c r="BU26" s="628">
        <f ca="1">IF(AND($D26="Serviço",BU$12&lt;&gt;0,$H26&gt;0,OR(AUTOEVENTO&lt;&gt;"manual",$M26&lt;&gt;1)),ROUND(OFFSET($P26,0,BU$13),15-13*ORÇAMENTO!$AF$7)/$H26*OFFSET(ORÇAMENTO!$X$15,ROW(BU26)-ROW(BU$15),0),0)</f>
        <v>0</v>
      </c>
      <c r="BV26" s="628">
        <f ca="1">IF(AND($D26="Serviço",BV$12&lt;&gt;0,$H26&gt;0,OR(AUTOEVENTO&lt;&gt;"manual",$M26&lt;&gt;1)),ROUND(OFFSET($P26,0,BV$13),15-13*ORÇAMENTO!$AF$7)/$H26*OFFSET(ORÇAMENTO!$X$15,ROW(BV26)-ROW(BV$15),0),0)</f>
        <v>0</v>
      </c>
      <c r="BW26" s="628">
        <f ca="1">IF(AND($D26="Serviço",BW$12&lt;&gt;0,$H26&gt;0,OR(AUTOEVENTO&lt;&gt;"manual",$M26&lt;&gt;1)),ROUND(OFFSET($P26,0,BW$13),15-13*ORÇAMENTO!$AF$7)/$H26*OFFSET(ORÇAMENTO!$X$15,ROW(BW26)-ROW(BW$15),0),0)</f>
        <v>0</v>
      </c>
      <c r="BX26" s="628">
        <f ca="1">IF(AND($D26="Serviço",BX$12&lt;&gt;0,$H26&gt;0,OR(AUTOEVENTO&lt;&gt;"manual",$M26&lt;&gt;1)),ROUND(OFFSET($P26,0,BX$13),15-13*ORÇAMENTO!$AF$7)/$H26*OFFSET(ORÇAMENTO!$X$15,ROW(BX26)-ROW(BX$15),0),0)</f>
        <v>0</v>
      </c>
      <c r="BY26" s="629">
        <f ca="1">IF(AND($D26="Serviço",BY$12&lt;&gt;0,$H26&gt;0,OR(AUTOEVENTO&lt;&gt;"manual",$M26&lt;&gt;1)),ROUND(OFFSET($P26,0,BY$13),15-13*ORÇAMENTO!$AF$7)/$H26*OFFSET(ORÇAMENTO!$X$15,ROW(BY26)-ROW(BY$15),0),0)</f>
        <v>0</v>
      </c>
      <c r="BZ26" s="628">
        <f ca="1">IF(AND($D26="Serviço",BZ$12&lt;&gt;0,$H26&gt;0,OR(AUTOEVENTO&lt;&gt;"manual",$M26&lt;&gt;1)),ROUND(OFFSET($P26,0,BZ$13),15-13*ORÇAMENTO!$AF$7)/$H26*OFFSET(ORÇAMENTO!$X$15,ROW(BZ26)-ROW(BZ$15),0),0)</f>
        <v>0</v>
      </c>
      <c r="CA26" s="628">
        <f ca="1">IF(AND($D26="Serviço",CA$12&lt;&gt;0,$H26&gt;0,OR(AUTOEVENTO&lt;&gt;"manual",$M26&lt;&gt;1)),ROUND(OFFSET($P26,0,CA$13),15-13*ORÇAMENTO!$AF$7)/$H26*OFFSET(ORÇAMENTO!$X$15,ROW(CA26)-ROW(CA$15),0),0)</f>
        <v>0</v>
      </c>
      <c r="CB26" s="628">
        <f ca="1">IF(AND($D26="Serviço",CB$12&lt;&gt;0,$H26&gt;0,OR(AUTOEVENTO&lt;&gt;"manual",$M26&lt;&gt;1)),ROUND(OFFSET($P26,0,CB$13),15-13*ORÇAMENTO!$AF$7)/$H26*OFFSET(ORÇAMENTO!$X$15,ROW(CB26)-ROW(CB$15),0),0)</f>
        <v>0</v>
      </c>
      <c r="CC26" s="628">
        <f ca="1">IF(AND($D26="Serviço",CC$12&lt;&gt;0,$H26&gt;0,OR(AUTOEVENTO&lt;&gt;"manual",$M26&lt;&gt;1)),ROUND(OFFSET($P26,0,CC$13),15-13*ORÇAMENTO!$AF$7)/$H26*OFFSET(ORÇAMENTO!$X$15,ROW(CC26)-ROW(CC$15),0),0)</f>
        <v>0</v>
      </c>
      <c r="CD26" s="628">
        <f ca="1">IF(AND($D26="Serviço",CD$12&lt;&gt;0,$H26&gt;0,OR(AUTOEVENTO&lt;&gt;"manual",$M26&lt;&gt;1)),ROUND(OFFSET($P26,0,CD$13),15-13*ORÇAMENTO!$AF$7)/$H26*OFFSET(ORÇAMENTO!$X$15,ROW(CD26)-ROW(CD$15),0),0)</f>
        <v>0</v>
      </c>
      <c r="CE26" s="628">
        <f ca="1">IF(AND($D26="Serviço",CE$12&lt;&gt;0,$H26&gt;0,OR(AUTOEVENTO&lt;&gt;"manual",$M26&lt;&gt;1)),ROUND(OFFSET($P26,0,CE$13),15-13*ORÇAMENTO!$AF$7)/$H26*OFFSET(ORÇAMENTO!$X$15,ROW(CE26)-ROW(CE$15),0),0)</f>
        <v>0</v>
      </c>
      <c r="CF26" s="628">
        <f ca="1">IF(AND($D26="Serviço",CF$12&lt;&gt;0,$H26&gt;0,OR(AUTOEVENTO&lt;&gt;"manual",$M26&lt;&gt;1)),ROUND(OFFSET($P26,0,CF$13),15-13*ORÇAMENTO!$AF$7)/$H26*OFFSET(ORÇAMENTO!$X$15,ROW(CF26)-ROW(CF$15),0),0)</f>
        <v>0</v>
      </c>
      <c r="CG26" s="629">
        <f ca="1">IF(AND($D26="Serviço",CG$12&lt;&gt;0,$H26&gt;0,OR(AUTOEVENTO&lt;&gt;"manual",$M26&lt;&gt;1)),ROUND(OFFSET($P26,0,CG$13),15-13*ORÇAMENTO!$AF$7)/$H26*OFFSET(ORÇAMENTO!$X$15,ROW(CG26)-ROW(CG$15),0),0)</f>
        <v>0</v>
      </c>
      <c r="CH26" s="628">
        <f ca="1">IF(AND($D26="Serviço",CH$12&lt;&gt;0,$H26&gt;0,OR(AUTOEVENTO&lt;&gt;"manual",$M26&lt;&gt;1)),ROUND(OFFSET($P26,0,CH$13),15-13*ORÇAMENTO!$AF$7)/$H26*OFFSET(ORÇAMENTO!$X$15,ROW(CH26)-ROW(CH$15),0),0)</f>
        <v>0</v>
      </c>
      <c r="CI26" s="628">
        <f ca="1">IF(AND($D26="Serviço",CI$12&lt;&gt;0,$H26&gt;0,OR(AUTOEVENTO&lt;&gt;"manual",$M26&lt;&gt;1)),ROUND(OFFSET($P26,0,CI$13),15-13*ORÇAMENTO!$AF$7)/$H26*OFFSET(ORÇAMENTO!$X$15,ROW(CI26)-ROW(CI$15),0),0)</f>
        <v>0</v>
      </c>
      <c r="CJ26" s="628">
        <f ca="1">IF(AND($D26="Serviço",CJ$12&lt;&gt;0,$H26&gt;0,OR(AUTOEVENTO&lt;&gt;"manual",$M26&lt;&gt;1)),ROUND(OFFSET($P26,0,CJ$13),15-13*ORÇAMENTO!$AF$7)/$H26*OFFSET(ORÇAMENTO!$X$15,ROW(CJ26)-ROW(CJ$15),0),0)</f>
        <v>0</v>
      </c>
      <c r="CK26" s="628">
        <f ca="1">IF(AND($D26="Serviço",CK$12&lt;&gt;0,$H26&gt;0,OR(AUTOEVENTO&lt;&gt;"manual",$M26&lt;&gt;1)),ROUND(OFFSET($P26,0,CK$13),15-13*ORÇAMENTO!$AF$7)/$H26*OFFSET(ORÇAMENTO!$X$15,ROW(CK26)-ROW(CK$15),0),0)</f>
        <v>0</v>
      </c>
      <c r="CL26" s="628">
        <f ca="1">IF(AND($D26="Serviço",CL$12&lt;&gt;0,$H26&gt;0,OR(AUTOEVENTO&lt;&gt;"manual",$M26&lt;&gt;1)),ROUND(OFFSET($P26,0,CL$13),15-13*ORÇAMENTO!$AF$7)/$H26*OFFSET(ORÇAMENTO!$X$15,ROW(CL26)-ROW(CL$15),0),0)</f>
        <v>0</v>
      </c>
      <c r="CM26" s="628">
        <f ca="1">IF(AND($D26="Serviço",CM$12&lt;&gt;0,$H26&gt;0,OR(AUTOEVENTO&lt;&gt;"manual",$M26&lt;&gt;1)),ROUND(OFFSET($P26,0,CM$13),15-13*ORÇAMENTO!$AF$7)/$H26*OFFSET(ORÇAMENTO!$X$15,ROW(CM26)-ROW(CM$15),0),0)</f>
        <v>0</v>
      </c>
      <c r="CN26" s="628">
        <f ca="1">IF(AND($D26="Serviço",CN$12&lt;&gt;0,$H26&gt;0,OR(AUTOEVENTO&lt;&gt;"manual",$M26&lt;&gt;1)),ROUND(OFFSET($P26,0,CN$13),15-13*ORÇAMENTO!$AF$7)/$H26*OFFSET(ORÇAMENTO!$X$15,ROW(CN26)-ROW(CN$15),0),0)</f>
        <v>0</v>
      </c>
      <c r="CO26" s="629">
        <f ca="1">IF(AND($D26="Serviço",CO$12&lt;&gt;0,$H26&gt;0,OR(AUTOEVENTO&lt;&gt;"manual",$M26&lt;&gt;1)),ROUND(OFFSET($P26,0,CO$13),15-13*ORÇAMENTO!$AF$7)/$H26*OFFSET(ORÇAMENTO!$X$15,ROW(CO26)-ROW(CO$15),0),0)</f>
        <v>0</v>
      </c>
      <c r="CP26" s="628">
        <f ca="1">IF(AND($D26="Serviço",CP$12&lt;&gt;0,$H26&gt;0,OR(AUTOEVENTO&lt;&gt;"manual",$M26&lt;&gt;1)),ROUND(OFFSET($P26,0,CP$13),15-13*ORÇAMENTO!$AF$7)/$H26*OFFSET(ORÇAMENTO!$X$15,ROW(CP26)-ROW(CP$15),0),0)</f>
        <v>0</v>
      </c>
      <c r="CQ26" s="628">
        <f ca="1">IF(AND($D26="Serviço",CQ$12&lt;&gt;0,$H26&gt;0,OR(AUTOEVENTO&lt;&gt;"manual",$M26&lt;&gt;1)),ROUND(OFFSET($P26,0,CQ$13),15-13*ORÇAMENTO!$AF$7)/$H26*OFFSET(ORÇAMENTO!$X$15,ROW(CQ26)-ROW(CQ$15),0),0)</f>
        <v>0</v>
      </c>
      <c r="CR26" s="628">
        <f ca="1">IF(AND($D26="Serviço",CR$12&lt;&gt;0,$H26&gt;0,OR(AUTOEVENTO&lt;&gt;"manual",$M26&lt;&gt;1)),ROUND(OFFSET($P26,0,CR$13),15-13*ORÇAMENTO!$AF$7)/$H26*OFFSET(ORÇAMENTO!$X$15,ROW(CR26)-ROW(CR$15),0),0)</f>
        <v>0</v>
      </c>
      <c r="CS26" s="628">
        <f ca="1">IF(AND($D26="Serviço",CS$12&lt;&gt;0,$H26&gt;0,OR(AUTOEVENTO&lt;&gt;"manual",$M26&lt;&gt;1)),ROUND(OFFSET($P26,0,CS$13),15-13*ORÇAMENTO!$AF$7)/$H26*OFFSET(ORÇAMENTO!$X$15,ROW(CS26)-ROW(CS$15),0),0)</f>
        <v>0</v>
      </c>
      <c r="CT26" s="628">
        <f ca="1">IF(AND($D26="Serviço",CT$12&lt;&gt;0,$H26&gt;0,OR(AUTOEVENTO&lt;&gt;"manual",$M26&lt;&gt;1)),ROUND(OFFSET($P26,0,CT$13),15-13*ORÇAMENTO!$AF$7)/$H26*OFFSET(ORÇAMENTO!$X$15,ROW(CT26)-ROW(CT$15),0),0)</f>
        <v>0</v>
      </c>
      <c r="CU26" s="628">
        <f ca="1">IF(AND($D26="Serviço",CU$12&lt;&gt;0,$H26&gt;0,OR(AUTOEVENTO&lt;&gt;"manual",$M26&lt;&gt;1)),ROUND(OFFSET($P26,0,CU$13),15-13*ORÇAMENTO!$AF$7)/$H26*OFFSET(ORÇAMENTO!$X$15,ROW(CU26)-ROW(CU$15),0),0)</f>
        <v>0</v>
      </c>
      <c r="CV26" s="628">
        <f ca="1">IF(AND($D26="Serviço",CV$12&lt;&gt;0,$H26&gt;0,OR(AUTOEVENTO&lt;&gt;"manual",$M26&lt;&gt;1)),ROUND(OFFSET($P26,0,CV$13),15-13*ORÇAMENTO!$AF$7)/$H26*OFFSET(ORÇAMENTO!$X$15,ROW(CV26)-ROW(CV$15),0),0)</f>
        <v>0</v>
      </c>
      <c r="CW26" s="629">
        <f ca="1">IF(AND($D26="Serviço",CW$12&lt;&gt;0,$H26&gt;0,OR(AUTOEVENTO&lt;&gt;"manual",$M26&lt;&gt;1)),ROUND(OFFSET($P26,0,CW$13),15-13*ORÇAMENTO!$AF$7)/$H26*OFFSET(ORÇAMENTO!$X$15,ROW(CW26)-ROW(CW$15),0),0)</f>
        <v>0</v>
      </c>
      <c r="CX26" s="628">
        <f ca="1">IF(AND($D26="Serviço",CX$12&lt;&gt;0,$H26&gt;0,OR(AUTOEVENTO&lt;&gt;"manual",$M26&lt;&gt;1)),ROUND(OFFSET($P26,0,CX$13),15-13*ORÇAMENTO!$AF$7)/$H26*OFFSET(ORÇAMENTO!$X$15,ROW(CX26)-ROW(CX$15),0),0)</f>
        <v>0</v>
      </c>
      <c r="CY26" s="628">
        <f ca="1">IF(AND($D26="Serviço",CY$12&lt;&gt;0,$H26&gt;0,OR(AUTOEVENTO&lt;&gt;"manual",$M26&lt;&gt;1)),ROUND(OFFSET($P26,0,CY$13),15-13*ORÇAMENTO!$AF$7)/$H26*OFFSET(ORÇAMENTO!$X$15,ROW(CY26)-ROW(CY$15),0),0)</f>
        <v>0</v>
      </c>
      <c r="CZ26" s="628">
        <f ca="1">IF(AND($D26="Serviço",CZ$12&lt;&gt;0,$H26&gt;0,OR(AUTOEVENTO&lt;&gt;"manual",$M26&lt;&gt;1)),ROUND(OFFSET($P26,0,CZ$13),15-13*ORÇAMENTO!$AF$7)/$H26*OFFSET(ORÇAMENTO!$X$15,ROW(CZ26)-ROW(CZ$15),0),0)</f>
        <v>0</v>
      </c>
      <c r="DA26" s="628">
        <f ca="1">IF(AND($D26="Serviço",DA$12&lt;&gt;0,$H26&gt;0,OR(AUTOEVENTO&lt;&gt;"manual",$M26&lt;&gt;1)),ROUND(OFFSET($P26,0,DA$13),15-13*ORÇAMENTO!$AF$7)/$H26*OFFSET(ORÇAMENTO!$X$15,ROW(DA26)-ROW(DA$15),0),0)</f>
        <v>0</v>
      </c>
      <c r="DB26" s="628">
        <f ca="1">IF(AND($D26="Serviço",DB$12&lt;&gt;0,$H26&gt;0,OR(AUTOEVENTO&lt;&gt;"manual",$M26&lt;&gt;1)),ROUND(OFFSET($P26,0,DB$13),15-13*ORÇAMENTO!$AF$7)/$H26*OFFSET(ORÇAMENTO!$X$15,ROW(DB26)-ROW(DB$15),0),0)</f>
        <v>0</v>
      </c>
      <c r="DC26" s="628">
        <f ca="1">IF(AND($D26="Serviço",DC$12&lt;&gt;0,$H26&gt;0,OR(AUTOEVENTO&lt;&gt;"manual",$M26&lt;&gt;1)),ROUND(OFFSET($P26,0,DC$13),15-13*ORÇAMENTO!$AF$7)/$H26*OFFSET(ORÇAMENTO!$X$15,ROW(DC26)-ROW(DC$15),0),0)</f>
        <v>0</v>
      </c>
      <c r="DD26" s="628">
        <f ca="1">IF(AND($D26="Serviço",DD$12&lt;&gt;0,$H26&gt;0,OR(AUTOEVENTO&lt;&gt;"manual",$M26&lt;&gt;1)),ROUND(OFFSET($P26,0,DD$13),15-13*ORÇAMENTO!$AF$7)/$H26*OFFSET(ORÇAMENTO!$X$15,ROW(DD26)-ROW(DD$15),0),0)</f>
        <v>0</v>
      </c>
      <c r="DE26" s="629">
        <f ca="1">IF(AND($D26="Serviço",DE$12&lt;&gt;0,$H26&gt;0,OR(AUTOEVENTO&lt;&gt;"manual",$M26&lt;&gt;1)),ROUND(OFFSET($P26,0,DE$13),15-13*ORÇAMENTO!$AF$7)/$H26*OFFSET(ORÇAMENTO!$X$15,ROW(DE26)-ROW(DE$15),0),0)</f>
        <v>0</v>
      </c>
      <c r="DF26" s="628">
        <f ca="1">IF(AND($D26="Serviço",DF$12&lt;&gt;0,$H26&gt;0,OR(AUTOEVENTO&lt;&gt;"manual",$M26&lt;&gt;1)),ROUND(OFFSET($P26,0,DF$13),15-13*ORÇAMENTO!$AF$7)/$H26*OFFSET(ORÇAMENTO!$X$15,ROW(DF26)-ROW(DF$15),0),0)</f>
        <v>0</v>
      </c>
      <c r="DG26" s="628">
        <f ca="1">IF(AND($D26="Serviço",DG$12&lt;&gt;0,$H26&gt;0,OR(AUTOEVENTO&lt;&gt;"manual",$M26&lt;&gt;1)),ROUND(OFFSET($P26,0,DG$13),15-13*ORÇAMENTO!$AF$7)/$H26*OFFSET(ORÇAMENTO!$X$15,ROW(DG26)-ROW(DG$15),0),0)</f>
        <v>0</v>
      </c>
      <c r="DH26" s="628">
        <f ca="1">IF(AND($D26="Serviço",DH$12&lt;&gt;0,$H26&gt;0,OR(AUTOEVENTO&lt;&gt;"manual",$M26&lt;&gt;1)),ROUND(OFFSET($P26,0,DH$13),15-13*ORÇAMENTO!$AF$7)/$H26*OFFSET(ORÇAMENTO!$X$15,ROW(DH26)-ROW(DH$15),0),0)</f>
        <v>0</v>
      </c>
      <c r="DI26" s="628">
        <f ca="1">IF(AND($D26="Serviço",DI$12&lt;&gt;0,$H26&gt;0,OR(AUTOEVENTO&lt;&gt;"manual",$M26&lt;&gt;1)),ROUND(OFFSET($P26,0,DI$13),15-13*ORÇAMENTO!$AF$7)/$H26*OFFSET(ORÇAMENTO!$X$15,ROW(DI26)-ROW(DI$15),0),0)</f>
        <v>0</v>
      </c>
      <c r="DJ26" s="628">
        <f ca="1">IF(AND($D26="Serviço",DJ$12&lt;&gt;0,$H26&gt;0,OR(AUTOEVENTO&lt;&gt;"manual",$M26&lt;&gt;1)),ROUND(OFFSET($P26,0,DJ$13),15-13*ORÇAMENTO!$AF$7)/$H26*OFFSET(ORÇAMENTO!$X$15,ROW(DJ26)-ROW(DJ$15),0),0)</f>
        <v>0</v>
      </c>
      <c r="DK26" s="628">
        <f ca="1">IF(AND($D26="Serviço",DK$12&lt;&gt;0,$H26&gt;0,OR(AUTOEVENTO&lt;&gt;"manual",$M26&lt;&gt;1)),ROUND(OFFSET($P26,0,DK$13),15-13*ORÇAMENTO!$AF$7)/$H26*OFFSET(ORÇAMENTO!$X$15,ROW(DK26)-ROW(DK$15),0),0)</f>
        <v>0</v>
      </c>
      <c r="DL26" s="628">
        <f ca="1">IF(AND($D26="Serviço",DL$12&lt;&gt;0,$H26&gt;0,OR(AUTOEVENTO&lt;&gt;"manual",$M26&lt;&gt;1)),ROUND(OFFSET($P26,0,DL$13),15-13*ORÇAMENTO!$AF$7)/$H26*OFFSET(ORÇAMENTO!$X$15,ROW(DL26)-ROW(DL$15),0),0)</f>
        <v>0</v>
      </c>
      <c r="DM26" s="629">
        <f ca="1">IF(AND($D26="Serviço",DM$12&lt;&gt;0,$H26&gt;0,OR(AUTOEVENTO&lt;&gt;"manual",$M26&lt;&gt;1)),ROUND(OFFSET($P26,0,DM$13),15-13*ORÇAMENTO!$AF$7)/$H26*OFFSET(ORÇAMENTO!$X$15,ROW(DM26)-ROW(DM$15),0),0)</f>
        <v>0</v>
      </c>
      <c r="DO26" s="211">
        <f ca="1">IF($D26&lt;&gt;"Serviço",0,IF(AND(AUTOEVENTO="Manual",$M26=1),0,IF(OFFSET(CRONOPLE!$F$14,$M26,DO$13)="",10^12,OFFSET(CRONOPLE!$F$14,$M26,DO$13))))</f>
        <v>1</v>
      </c>
      <c r="DP26" s="211">
        <f ca="1">IF($D26&lt;&gt;"Serviço",0,IF(AND(AUTOEVENTO="Manual",$M26=1),0,IF(OFFSET(CRONOPLE!$F$14,$M26,DP$13)="",10^12,OFFSET(CRONOPLE!$F$14,$M26,DP$13))))</f>
        <v>3</v>
      </c>
      <c r="DQ26" s="211">
        <f ca="1">IF($D26&lt;&gt;"Serviço",0,IF(AND(AUTOEVENTO="Manual",$M26=1),0,IF(OFFSET(CRONOPLE!$F$14,$M26,DQ$13)="",10^12,OFFSET(CRONOPLE!$F$14,$M26,DQ$13))))</f>
        <v>3</v>
      </c>
      <c r="DR26" s="211">
        <f ca="1">IF($D26&lt;&gt;"Serviço",0,IF(AND(AUTOEVENTO="Manual",$M26=1),0,IF(OFFSET(CRONOPLE!$F$14,$M26,DR$13)="",10^12,OFFSET(CRONOPLE!$F$14,$M26,DR$13))))</f>
        <v>1000000000000</v>
      </c>
      <c r="DS26" s="211">
        <f ca="1">IF($D26&lt;&gt;"Serviço",0,IF(AND(AUTOEVENTO="Manual",$M26=1),0,IF(OFFSET(CRONOPLE!$F$14,$M26,DS$13)="",10^12,OFFSET(CRONOPLE!$F$14,$M26,DS$13))))</f>
        <v>1000000000000</v>
      </c>
      <c r="DT26" s="211">
        <f ca="1">IF($D26&lt;&gt;"Serviço",0,IF(AND(AUTOEVENTO="Manual",$M26=1),0,IF(OFFSET(CRONOPLE!$F$14,$M26,DT$13)="",10^12,OFFSET(CRONOPLE!$F$14,$M26,DT$13))))</f>
        <v>1000000000000</v>
      </c>
      <c r="DU26" s="211">
        <f ca="1">IF($D26&lt;&gt;"Serviço",0,IF(AND(AUTOEVENTO="Manual",$M26=1),0,IF(OFFSET(CRONOPLE!$F$14,$M26,DU$13)="",10^12,OFFSET(CRONOPLE!$F$14,$M26,DU$13))))</f>
        <v>1000000000000</v>
      </c>
      <c r="DV26" s="211">
        <f ca="1">IF($D26&lt;&gt;"Serviço",0,IF(AND(AUTOEVENTO="Manual",$M26=1),0,IF(OFFSET(CRONOPLE!$F$14,$M26,DV$13)="",10^12,OFFSET(CRONOPLE!$F$14,$M26,DV$13))))</f>
        <v>1000000000000</v>
      </c>
      <c r="DW26" s="211">
        <f ca="1">IF($D26&lt;&gt;"Serviço",0,IF(AND(AUTOEVENTO="Manual",$M26=1),0,IF(OFFSET(CRONOPLE!$F$14,$M26,DW$13)="",10^12,OFFSET(CRONOPLE!$F$14,$M26,DW$13))))</f>
        <v>1000000000000</v>
      </c>
      <c r="DX26" s="211">
        <f ca="1">IF($D26&lt;&gt;"Serviço",0,IF(AND(AUTOEVENTO="Manual",$M26=1),0,IF(OFFSET(CRONOPLE!$F$14,$M26,DX$13)="",10^12,OFFSET(CRONOPLE!$F$14,$M26,DX$13))))</f>
        <v>1000000000000</v>
      </c>
      <c r="DY26" s="211">
        <f ca="1">IF($D26&lt;&gt;"Serviço",0,IF(AND(AUTOEVENTO="Manual",$M26=1),0,IF(OFFSET(CRONOPLE!$F$14,$M26,DY$13)="",10^12,OFFSET(CRONOPLE!$F$14,$M26,DY$13))))</f>
        <v>1000000000000</v>
      </c>
      <c r="DZ26" s="211">
        <f ca="1">IF($D26&lt;&gt;"Serviço",0,IF(AND(AUTOEVENTO="Manual",$M26=1),0,IF(OFFSET(CRONOPLE!$F$14,$M26,DZ$13)="",10^12,OFFSET(CRONOPLE!$F$14,$M26,DZ$13))))</f>
        <v>1000000000000</v>
      </c>
      <c r="EA26" s="211">
        <f ca="1">IF($D26&lt;&gt;"Serviço",0,IF(AND(AUTOEVENTO="Manual",$M26=1),0,IF(OFFSET(CRONOPLE!$F$14,$M26,EA$13)="",10^12,OFFSET(CRONOPLE!$F$14,$M26,EA$13))))</f>
        <v>1000000000000</v>
      </c>
      <c r="EB26" s="211">
        <f ca="1">IF($D26&lt;&gt;"Serviço",0,IF(AND(AUTOEVENTO="Manual",$M26=1),0,IF(OFFSET(CRONOPLE!$F$14,$M26,EB$13)="",10^12,OFFSET(CRONOPLE!$F$14,$M26,EB$13))))</f>
        <v>1000000000000</v>
      </c>
      <c r="EC26" s="211">
        <f ca="1">IF($D26&lt;&gt;"Serviço",0,IF(AND(AUTOEVENTO="Manual",$M26=1),0,IF(OFFSET(CRONOPLE!$F$14,$M26,EC$13)="",10^12,OFFSET(CRONOPLE!$F$14,$M26,EC$13))))</f>
        <v>1000000000000</v>
      </c>
      <c r="ED26" s="211">
        <f ca="1">IF($D26&lt;&gt;"Serviço",0,IF(AND(AUTOEVENTO="Manual",$M26=1),0,IF(OFFSET(CRONOPLE!$F$14,$M26,ED$13)="",10^12,OFFSET(CRONOPLE!$F$14,$M26,ED$13))))</f>
        <v>1000000000000</v>
      </c>
      <c r="EE26" s="211">
        <f ca="1">IF($D26&lt;&gt;"Serviço",0,IF(AND(AUTOEVENTO="Manual",$M26=1),0,IF(OFFSET(CRONOPLE!$F$14,$M26,EE$13)="",10^12,OFFSET(CRONOPLE!$F$14,$M26,EE$13))))</f>
        <v>1000000000000</v>
      </c>
      <c r="EF26" s="211">
        <f ca="1">IF($D26&lt;&gt;"Serviço",0,IF(AND(AUTOEVENTO="Manual",$M26=1),0,IF(OFFSET(CRONOPLE!$F$14,$M26,EF$13)="",10^12,OFFSET(CRONOPLE!$F$14,$M26,EF$13))))</f>
        <v>1000000000000</v>
      </c>
      <c r="EG26" s="211">
        <f ca="1">IF($D26&lt;&gt;"Serviço",0,IF(AND(AUTOEVENTO="Manual",$M26=1),0,IF(OFFSET(CRONOPLE!$F$14,$M26,EG$13)="",10^12,OFFSET(CRONOPLE!$F$14,$M26,EG$13))))</f>
        <v>1000000000000</v>
      </c>
      <c r="EH26" s="211">
        <f ca="1">IF($D26&lt;&gt;"Serviço",0,IF(AND(AUTOEVENTO="Manual",$M26=1),0,IF(OFFSET(CRONOPLE!$F$14,$M26,EH$13)="",10^12,OFFSET(CRONOPLE!$F$14,$M26,EH$13))))</f>
        <v>1000000000000</v>
      </c>
      <c r="EI26" s="211">
        <f ca="1">IF($D26&lt;&gt;"Serviço",0,IF(AND(AUTOEVENTO="Manual",$M26=1),0,IF(OFFSET(CRONOPLE!$F$14,$M26,EI$13)="",10^12,OFFSET(CRONOPLE!$F$14,$M26,EI$13))))</f>
        <v>1000000000000</v>
      </c>
      <c r="EJ26" s="211">
        <f ca="1">IF($D26&lt;&gt;"Serviço",0,IF(AND(AUTOEVENTO="Manual",$M26=1),0,IF(OFFSET(CRONOPLE!$F$14,$M26,EJ$13)="",10^12,OFFSET(CRONOPLE!$F$14,$M26,EJ$13))))</f>
        <v>1000000000000</v>
      </c>
      <c r="EK26" s="211">
        <f ca="1">IF($D26&lt;&gt;"Serviço",0,IF(AND(AUTOEVENTO="Manual",$M26=1),0,IF(OFFSET(CRONOPLE!$F$14,$M26,EK$13)="",10^12,OFFSET(CRONOPLE!$F$14,$M26,EK$13))))</f>
        <v>1000000000000</v>
      </c>
      <c r="EL26" s="211">
        <f ca="1">IF($D26&lt;&gt;"Serviço",0,IF(AND(AUTOEVENTO="Manual",$M26=1),0,IF(OFFSET(CRONOPLE!$F$14,$M26,EL$13)="",10^12,OFFSET(CRONOPLE!$F$14,$M26,EL$13))))</f>
        <v>1000000000000</v>
      </c>
      <c r="EM26" s="211">
        <f ca="1">IF($D26&lt;&gt;"Serviço",0,IF(AND(AUTOEVENTO="Manual",$M26=1),0,IF(OFFSET(CRONOPLE!$F$14,$M26,EM$13)="",10^12,OFFSET(CRONOPLE!$F$14,$M26,EM$13))))</f>
        <v>1000000000000</v>
      </c>
      <c r="EN26" s="211">
        <f ca="1">IF($D26&lt;&gt;"Serviço",0,IF(AND(AUTOEVENTO="Manual",$M26=1),0,IF(OFFSET(CRONOPLE!$F$14,$M26,EN$13)="",10^12,OFFSET(CRONOPLE!$F$14,$M26,EN$13))))</f>
        <v>1000000000000</v>
      </c>
      <c r="EO26" s="211">
        <f ca="1">IF($D26&lt;&gt;"Serviço",0,IF(AND(AUTOEVENTO="Manual",$M26=1),0,IF(OFFSET(CRONOPLE!$F$14,$M26,EO$13)="",10^12,OFFSET(CRONOPLE!$F$14,$M26,EO$13))))</f>
        <v>1000000000000</v>
      </c>
      <c r="EP26" s="211">
        <f ca="1">IF($D26&lt;&gt;"Serviço",0,IF(AND(AUTOEVENTO="Manual",$M26=1),0,IF(OFFSET(CRONOPLE!$F$14,$M26,EP$13)="",10^12,OFFSET(CRONOPLE!$F$14,$M26,EP$13))))</f>
        <v>1000000000000</v>
      </c>
      <c r="EQ26" s="211">
        <f ca="1">IF($D26&lt;&gt;"Serviço",0,IF(AND(AUTOEVENTO="Manual",$M26=1),0,IF(OFFSET(CRONOPLE!$F$14,$M26,EQ$13)="",10^12,OFFSET(CRONOPLE!$F$14,$M26,EQ$13))))</f>
        <v>1000000000000</v>
      </c>
      <c r="ER26" s="211">
        <f ca="1">IF($D26&lt;&gt;"Serviço",0,IF(AND(AUTOEVENTO="Manual",$M26=1),0,IF(OFFSET(CRONOPLE!$F$14,$M26,ER$13)="",10^12,OFFSET(CRONOPLE!$F$14,$M26,ER$13))))</f>
        <v>1000000000000</v>
      </c>
      <c r="ES26" s="211">
        <f ca="1">IF($D26&lt;&gt;"Serviço",0,IF(AND(AUTOEVENTO="Manual",$M26=1),0,IF(OFFSET(CRONOPLE!$F$14,$M26,ES$13)="",10^12,OFFSET(CRONOPLE!$F$14,$M26,ES$13))))</f>
        <v>1000000000000</v>
      </c>
      <c r="ET26" s="211">
        <f ca="1">IF($D26&lt;&gt;"Serviço",0,IF(AND(AUTOEVENTO="Manual",$M26=1),0,IF(OFFSET(CRONOPLE!$F$14,$M26,ET$13)="",10^12,OFFSET(CRONOPLE!$F$14,$M26,ET$13))))</f>
        <v>1000000000000</v>
      </c>
      <c r="EU26" s="211">
        <f ca="1">IF($D26&lt;&gt;"Serviço",0,IF(AND(AUTOEVENTO="Manual",$M26=1),0,IF(OFFSET(CRONOPLE!$F$14,$M26,EU$13)="",10^12,OFFSET(CRONOPLE!$F$14,$M26,EU$13))))</f>
        <v>1000000000000</v>
      </c>
      <c r="EV26" s="211">
        <f ca="1">IF($D26&lt;&gt;"Serviço",0,IF(AND(AUTOEVENTO="Manual",$M26=1),0,IF(OFFSET(CRONOPLE!$F$14,$M26,EV$13)="",10^12,OFFSET(CRONOPLE!$F$14,$M26,EV$13))))</f>
        <v>1000000000000</v>
      </c>
      <c r="EW26" s="211">
        <f ca="1">IF($D26&lt;&gt;"Serviço",0,IF(AND(AUTOEVENTO="Manual",$M26=1),0,IF(OFFSET(CRONOPLE!$F$14,$M26,EW$13)="",10^12,OFFSET(CRONOPLE!$F$14,$M26,EW$13))))</f>
        <v>1000000000000</v>
      </c>
      <c r="EX26" s="211">
        <f ca="1">IF($D26&lt;&gt;"Serviço",0,IF(AND(AUTOEVENTO="Manual",$M26=1),0,IF(OFFSET(CRONOPLE!$F$14,$M26,EX$13)="",10^12,OFFSET(CRONOPLE!$F$14,$M26,EX$13))))</f>
        <v>1000000000000</v>
      </c>
      <c r="EY26" s="211">
        <f ca="1">IF($D26&lt;&gt;"Serviço",0,IF(AND(AUTOEVENTO="Manual",$M26=1),0,IF(OFFSET(CRONOPLE!$F$14,$M26,EY$13)="",10^12,OFFSET(CRONOPLE!$F$14,$M26,EY$13))))</f>
        <v>1000000000000</v>
      </c>
      <c r="EZ26" s="211">
        <f ca="1">IF($D26&lt;&gt;"Serviço",0,IF(AND(AUTOEVENTO="Manual",$M26=1),0,IF(OFFSET(CRONOPLE!$F$14,$M26,EZ$13)="",10^12,OFFSET(CRONOPLE!$F$14,$M26,EZ$13))))</f>
        <v>1000000000000</v>
      </c>
      <c r="FA26" s="211">
        <f ca="1">IF($D26&lt;&gt;"Serviço",0,IF(AND(AUTOEVENTO="Manual",$M26=1),0,IF(OFFSET(CRONOPLE!$F$14,$M26,FA$13)="",10^12,OFFSET(CRONOPLE!$F$14,$M26,FA$13))))</f>
        <v>1000000000000</v>
      </c>
      <c r="FB26" s="211">
        <f ca="1">IF($D26&lt;&gt;"Serviço",0,IF(AND(AUTOEVENTO="Manual",$M26=1),0,IF(OFFSET(CRONOPLE!$F$14,$M26,FB$13)="",10^12,OFFSET(CRONOPLE!$F$14,$M26,FB$13))))</f>
        <v>1000000000000</v>
      </c>
      <c r="FC26" s="211">
        <f ca="1">IF($D26&lt;&gt;"Serviço",0,IF(AND(AUTOEVENTO="Manual",$M26=1),0,IF(OFFSET(CRONOPLE!$F$14,$M26,FC$13)="",10^12,OFFSET(CRONOPLE!$F$14,$M26,FC$13))))</f>
        <v>1000000000000</v>
      </c>
      <c r="FD26" s="211">
        <f ca="1">IF($D26&lt;&gt;"Serviço",0,IF(AND(AUTOEVENTO="Manual",$M26=1),0,IF(OFFSET(CRONOPLE!$F$14,$M26,FD$13)="",10^12,OFFSET(CRONOPLE!$F$14,$M26,FD$13))))</f>
        <v>1000000000000</v>
      </c>
      <c r="FE26" s="211">
        <f ca="1">IF($D26&lt;&gt;"Serviço",0,IF(AND(AUTOEVENTO="Manual",$M26=1),0,IF(OFFSET(CRONOPLE!$F$14,$M26,FE$13)="",10^12,OFFSET(CRONOPLE!$F$14,$M26,FE$13))))</f>
        <v>1000000000000</v>
      </c>
      <c r="FF26" s="211">
        <f ca="1">IF($D26&lt;&gt;"Serviço",0,IF(AND(AUTOEVENTO="Manual",$M26=1),0,IF(OFFSET(CRONOPLE!$F$14,$M26,FF$13)="",10^12,OFFSET(CRONOPLE!$F$14,$M26,FF$13))))</f>
        <v>1000000000000</v>
      </c>
      <c r="FG26" s="211">
        <f ca="1">IF($D26&lt;&gt;"Serviço",0,IF(AND(AUTOEVENTO="Manual",$M26=1),0,IF(OFFSET(CRONOPLE!$F$14,$M26,FG$13)="",10^12,OFFSET(CRONOPLE!$F$14,$M26,FG$13))))</f>
        <v>1000000000000</v>
      </c>
      <c r="FH26" s="211">
        <f ca="1">IF($D26&lt;&gt;"Serviço",0,IF(AND(AUTOEVENTO="Manual",$M26=1),0,IF(OFFSET(CRONOPLE!$F$14,$M26,FH$13)="",10^12,OFFSET(CRONOPLE!$F$14,$M26,FH$13))))</f>
        <v>1000000000000</v>
      </c>
      <c r="FI26" s="211">
        <f ca="1">IF($D26&lt;&gt;"Serviço",0,IF(AND(AUTOEVENTO="Manual",$M26=1),0,IF(OFFSET(CRONOPLE!$F$14,$M26,FI$13)="",10^12,OFFSET(CRONOPLE!$F$14,$M26,FI$13))))</f>
        <v>1000000000000</v>
      </c>
      <c r="FJ26" s="211">
        <f ca="1">IF($D26&lt;&gt;"Serviço",0,IF(AND(AUTOEVENTO="Manual",$M26=1),0,IF(OFFSET(CRONOPLE!$F$14,$M26,FJ$13)="",10^12,OFFSET(CRONOPLE!$F$14,$M26,FJ$13))))</f>
        <v>1000000000000</v>
      </c>
      <c r="FK26" s="211">
        <f ca="1">IF($D26&lt;&gt;"Serviço",0,IF(AND(AUTOEVENTO="Manual",$M26=1),0,IF(OFFSET(CRONOPLE!$F$14,$M26,FK$13)="",10^12,OFFSET(CRONOPLE!$F$14,$M26,FK$13))))</f>
        <v>1000000000000</v>
      </c>
      <c r="FL26" s="211">
        <f ca="1">IF($D26&lt;&gt;"Serviço",0,IF(AND(AUTOEVENTO="Manual",$M26=1),0,IF(OFFSET(CRONOPLE!$F$14,$M26,FL$13)="",10^12,OFFSET(CRONOPLE!$F$14,$M26,FL$13))))</f>
        <v>1000000000000</v>
      </c>
      <c r="FN26" s="212">
        <f ca="1">IF($D26&lt;&gt;"Serviço",0,IF(OR(AND(AUTOEVENTO="Manual",$M26=1),$M26&gt;(ROW(PLE.lastrow)-ROW(PLE.firstrow))),0,IF(OFFSET(PLE!$G$14,$M26,FN$13)="",10^12,OFFSET(PLE!$G$14,$M26,FN$13))))</f>
        <v>1000000000000</v>
      </c>
      <c r="FO26" s="212">
        <f ca="1">IF($D26&lt;&gt;"Serviço",0,IF(OR(AND(AUTOEVENTO="Manual",$M26=1),$M26&gt;(ROW(PLE.lastrow)-ROW(PLE.firstrow))),0,IF(OFFSET(PLE!$G$14,$M26,FO$13)="",10^12,OFFSET(PLE!$G$14,$M26,FO$13))))</f>
        <v>1000000000000</v>
      </c>
      <c r="FP26" s="212">
        <f ca="1">IF($D26&lt;&gt;"Serviço",0,IF(OR(AND(AUTOEVENTO="Manual",$M26=1),$M26&gt;(ROW(PLE.lastrow)-ROW(PLE.firstrow))),0,IF(OFFSET(PLE!$G$14,$M26,FP$13)="",10^12,OFFSET(PLE!$G$14,$M26,FP$13))))</f>
        <v>1000000000000</v>
      </c>
      <c r="FQ26" s="212">
        <f ca="1">IF($D26&lt;&gt;"Serviço",0,IF(OR(AND(AUTOEVENTO="Manual",$M26=1),$M26&gt;(ROW(PLE.lastrow)-ROW(PLE.firstrow))),0,IF(OFFSET(PLE!$G$14,$M26,FQ$13)="",10^12,OFFSET(PLE!$G$14,$M26,FQ$13))))</f>
        <v>1000000000000</v>
      </c>
      <c r="FR26" s="212">
        <f ca="1">IF($D26&lt;&gt;"Serviço",0,IF(OR(AND(AUTOEVENTO="Manual",$M26=1),$M26&gt;(ROW(PLE.lastrow)-ROW(PLE.firstrow))),0,IF(OFFSET(PLE!$G$14,$M26,FR$13)="",10^12,OFFSET(PLE!$G$14,$M26,FR$13))))</f>
        <v>1000000000000</v>
      </c>
      <c r="FS26" s="212">
        <f ca="1">IF($D26&lt;&gt;"Serviço",0,IF(OR(AND(AUTOEVENTO="Manual",$M26=1),$M26&gt;(ROW(PLE.lastrow)-ROW(PLE.firstrow))),0,IF(OFFSET(PLE!$G$14,$M26,FS$13)="",10^12,OFFSET(PLE!$G$14,$M26,FS$13))))</f>
        <v>1000000000000</v>
      </c>
      <c r="FT26" s="212">
        <f ca="1">IF($D26&lt;&gt;"Serviço",0,IF(OR(AND(AUTOEVENTO="Manual",$M26=1),$M26&gt;(ROW(PLE.lastrow)-ROW(PLE.firstrow))),0,IF(OFFSET(PLE!$G$14,$M26,FT$13)="",10^12,OFFSET(PLE!$G$14,$M26,FT$13))))</f>
        <v>1000000000000</v>
      </c>
      <c r="FU26" s="212">
        <f ca="1">IF($D26&lt;&gt;"Serviço",0,IF(OR(AND(AUTOEVENTO="Manual",$M26=1),$M26&gt;(ROW(PLE.lastrow)-ROW(PLE.firstrow))),0,IF(OFFSET(PLE!$G$14,$M26,FU$13)="",10^12,OFFSET(PLE!$G$14,$M26,FU$13))))</f>
        <v>1000000000000</v>
      </c>
      <c r="FV26" s="212">
        <f ca="1">IF($D26&lt;&gt;"Serviço",0,IF(OR(AND(AUTOEVENTO="Manual",$M26=1),$M26&gt;(ROW(PLE.lastrow)-ROW(PLE.firstrow))),0,IF(OFFSET(PLE!$G$14,$M26,FV$13)="",10^12,OFFSET(PLE!$G$14,$M26,FV$13))))</f>
        <v>1000000000000</v>
      </c>
      <c r="FW26" s="212">
        <f ca="1">IF($D26&lt;&gt;"Serviço",0,IF(OR(AND(AUTOEVENTO="Manual",$M26=1),$M26&gt;(ROW(PLE.lastrow)-ROW(PLE.firstrow))),0,IF(OFFSET(PLE!$G$14,$M26,FW$13)="",10^12,OFFSET(PLE!$G$14,$M26,FW$13))))</f>
        <v>1000000000000</v>
      </c>
      <c r="FX26" s="212">
        <f ca="1">IF($D26&lt;&gt;"Serviço",0,IF(OR(AND(AUTOEVENTO="Manual",$M26=1),$M26&gt;(ROW(PLE.lastrow)-ROW(PLE.firstrow))),0,IF(OFFSET(PLE!$G$14,$M26,FX$13)="",10^12,OFFSET(PLE!$G$14,$M26,FX$13))))</f>
        <v>1000000000000</v>
      </c>
      <c r="FY26" s="212">
        <f ca="1">IF($D26&lt;&gt;"Serviço",0,IF(OR(AND(AUTOEVENTO="Manual",$M26=1),$M26&gt;(ROW(PLE.lastrow)-ROW(PLE.firstrow))),0,IF(OFFSET(PLE!$G$14,$M26,FY$13)="",10^12,OFFSET(PLE!$G$14,$M26,FY$13))))</f>
        <v>1000000000000</v>
      </c>
      <c r="FZ26" s="212">
        <f ca="1">IF($D26&lt;&gt;"Serviço",0,IF(OR(AND(AUTOEVENTO="Manual",$M26=1),$M26&gt;(ROW(PLE.lastrow)-ROW(PLE.firstrow))),0,IF(OFFSET(PLE!$G$14,$M26,FZ$13)="",10^12,OFFSET(PLE!$G$14,$M26,FZ$13))))</f>
        <v>1000000000000</v>
      </c>
      <c r="GA26" s="212">
        <f ca="1">IF($D26&lt;&gt;"Serviço",0,IF(OR(AND(AUTOEVENTO="Manual",$M26=1),$M26&gt;(ROW(PLE.lastrow)-ROW(PLE.firstrow))),0,IF(OFFSET(PLE!$G$14,$M26,GA$13)="",10^12,OFFSET(PLE!$G$14,$M26,GA$13))))</f>
        <v>1000000000000</v>
      </c>
      <c r="GB26" s="212">
        <f ca="1">IF($D26&lt;&gt;"Serviço",0,IF(OR(AND(AUTOEVENTO="Manual",$M26=1),$M26&gt;(ROW(PLE.lastrow)-ROW(PLE.firstrow))),0,IF(OFFSET(PLE!$G$14,$M26,GB$13)="",10^12,OFFSET(PLE!$G$14,$M26,GB$13))))</f>
        <v>1000000000000</v>
      </c>
      <c r="GC26" s="212">
        <f ca="1">IF($D26&lt;&gt;"Serviço",0,IF(OR(AND(AUTOEVENTO="Manual",$M26=1),$M26&gt;(ROW(PLE.lastrow)-ROW(PLE.firstrow))),0,IF(OFFSET(PLE!$G$14,$M26,GC$13)="",10^12,OFFSET(PLE!$G$14,$M26,GC$13))))</f>
        <v>1000000000000</v>
      </c>
      <c r="GD26" s="212">
        <f ca="1">IF($D26&lt;&gt;"Serviço",0,IF(OR(AND(AUTOEVENTO="Manual",$M26=1),$M26&gt;(ROW(PLE.lastrow)-ROW(PLE.firstrow))),0,IF(OFFSET(PLE!$G$14,$M26,GD$13)="",10^12,OFFSET(PLE!$G$14,$M26,GD$13))))</f>
        <v>1000000000000</v>
      </c>
      <c r="GE26" s="212">
        <f ca="1">IF($D26&lt;&gt;"Serviço",0,IF(OR(AND(AUTOEVENTO="Manual",$M26=1),$M26&gt;(ROW(PLE.lastrow)-ROW(PLE.firstrow))),0,IF(OFFSET(PLE!$G$14,$M26,GE$13)="",10^12,OFFSET(PLE!$G$14,$M26,GE$13))))</f>
        <v>1000000000000</v>
      </c>
      <c r="GF26" s="212">
        <f ca="1">IF($D26&lt;&gt;"Serviço",0,IF(OR(AND(AUTOEVENTO="Manual",$M26=1),$M26&gt;(ROW(PLE.lastrow)-ROW(PLE.firstrow))),0,IF(OFFSET(PLE!$G$14,$M26,GF$13)="",10^12,OFFSET(PLE!$G$14,$M26,GF$13))))</f>
        <v>1000000000000</v>
      </c>
      <c r="GG26" s="212">
        <f ca="1">IF($D26&lt;&gt;"Serviço",0,IF(OR(AND(AUTOEVENTO="Manual",$M26=1),$M26&gt;(ROW(PLE.lastrow)-ROW(PLE.firstrow))),0,IF(OFFSET(PLE!$G$14,$M26,GG$13)="",10^12,OFFSET(PLE!$G$14,$M26,GG$13))))</f>
        <v>1000000000000</v>
      </c>
      <c r="GH26" s="212">
        <f ca="1">IF($D26&lt;&gt;"Serviço",0,IF(OR(AND(AUTOEVENTO="Manual",$M26=1),$M26&gt;(ROW(PLE.lastrow)-ROW(PLE.firstrow))),0,IF(OFFSET(PLE!$G$14,$M26,GH$13)="",10^12,OFFSET(PLE!$G$14,$M26,GH$13))))</f>
        <v>1000000000000</v>
      </c>
      <c r="GI26" s="212">
        <f ca="1">IF($D26&lt;&gt;"Serviço",0,IF(OR(AND(AUTOEVENTO="Manual",$M26=1),$M26&gt;(ROW(PLE.lastrow)-ROW(PLE.firstrow))),0,IF(OFFSET(PLE!$G$14,$M26,GI$13)="",10^12,OFFSET(PLE!$G$14,$M26,GI$13))))</f>
        <v>1000000000000</v>
      </c>
      <c r="GJ26" s="212">
        <f ca="1">IF($D26&lt;&gt;"Serviço",0,IF(OR(AND(AUTOEVENTO="Manual",$M26=1),$M26&gt;(ROW(PLE.lastrow)-ROW(PLE.firstrow))),0,IF(OFFSET(PLE!$G$14,$M26,GJ$13)="",10^12,OFFSET(PLE!$G$14,$M26,GJ$13))))</f>
        <v>1000000000000</v>
      </c>
      <c r="GK26" s="212">
        <f ca="1">IF($D26&lt;&gt;"Serviço",0,IF(OR(AND(AUTOEVENTO="Manual",$M26=1),$M26&gt;(ROW(PLE.lastrow)-ROW(PLE.firstrow))),0,IF(OFFSET(PLE!$G$14,$M26,GK$13)="",10^12,OFFSET(PLE!$G$14,$M26,GK$13))))</f>
        <v>1000000000000</v>
      </c>
      <c r="GL26" s="212">
        <f ca="1">IF($D26&lt;&gt;"Serviço",0,IF(OR(AND(AUTOEVENTO="Manual",$M26=1),$M26&gt;(ROW(PLE.lastrow)-ROW(PLE.firstrow))),0,IF(OFFSET(PLE!$G$14,$M26,GL$13)="",10^12,OFFSET(PLE!$G$14,$M26,GL$13))))</f>
        <v>1000000000000</v>
      </c>
      <c r="GM26" s="212">
        <f ca="1">IF($D26&lt;&gt;"Serviço",0,IF(OR(AND(AUTOEVENTO="Manual",$M26=1),$M26&gt;(ROW(PLE.lastrow)-ROW(PLE.firstrow))),0,IF(OFFSET(PLE!$G$14,$M26,GM$13)="",10^12,OFFSET(PLE!$G$14,$M26,GM$13))))</f>
        <v>1000000000000</v>
      </c>
      <c r="GN26" s="212">
        <f ca="1">IF($D26&lt;&gt;"Serviço",0,IF(OR(AND(AUTOEVENTO="Manual",$M26=1),$M26&gt;(ROW(PLE.lastrow)-ROW(PLE.firstrow))),0,IF(OFFSET(PLE!$G$14,$M26,GN$13)="",10^12,OFFSET(PLE!$G$14,$M26,GN$13))))</f>
        <v>1000000000000</v>
      </c>
      <c r="GO26" s="212">
        <f ca="1">IF($D26&lt;&gt;"Serviço",0,IF(OR(AND(AUTOEVENTO="Manual",$M26=1),$M26&gt;(ROW(PLE.lastrow)-ROW(PLE.firstrow))),0,IF(OFFSET(PLE!$G$14,$M26,GO$13)="",10^12,OFFSET(PLE!$G$14,$M26,GO$13))))</f>
        <v>1000000000000</v>
      </c>
      <c r="GP26" s="212">
        <f ca="1">IF($D26&lt;&gt;"Serviço",0,IF(OR(AND(AUTOEVENTO="Manual",$M26=1),$M26&gt;(ROW(PLE.lastrow)-ROW(PLE.firstrow))),0,IF(OFFSET(PLE!$G$14,$M26,GP$13)="",10^12,OFFSET(PLE!$G$14,$M26,GP$13))))</f>
        <v>1000000000000</v>
      </c>
      <c r="GQ26" s="212">
        <f ca="1">IF($D26&lt;&gt;"Serviço",0,IF(OR(AND(AUTOEVENTO="Manual",$M26=1),$M26&gt;(ROW(PLE.lastrow)-ROW(PLE.firstrow))),0,IF(OFFSET(PLE!$G$14,$M26,GQ$13)="",10^12,OFFSET(PLE!$G$14,$M26,GQ$13))))</f>
        <v>1000000000000</v>
      </c>
      <c r="GR26" s="212">
        <f ca="1">IF($D26&lt;&gt;"Serviço",0,IF(OR(AND(AUTOEVENTO="Manual",$M26=1),$M26&gt;(ROW(PLE.lastrow)-ROW(PLE.firstrow))),0,IF(OFFSET(PLE!$G$14,$M26,GR$13)="",10^12,OFFSET(PLE!$G$14,$M26,GR$13))))</f>
        <v>1000000000000</v>
      </c>
      <c r="GS26" s="212">
        <f ca="1">IF($D26&lt;&gt;"Serviço",0,IF(OR(AND(AUTOEVENTO="Manual",$M26=1),$M26&gt;(ROW(PLE.lastrow)-ROW(PLE.firstrow))),0,IF(OFFSET(PLE!$G$14,$M26,GS$13)="",10^12,OFFSET(PLE!$G$14,$M26,GS$13))))</f>
        <v>1000000000000</v>
      </c>
      <c r="GT26" s="212">
        <f ca="1">IF($D26&lt;&gt;"Serviço",0,IF(OR(AND(AUTOEVENTO="Manual",$M26=1),$M26&gt;(ROW(PLE.lastrow)-ROW(PLE.firstrow))),0,IF(OFFSET(PLE!$G$14,$M26,GT$13)="",10^12,OFFSET(PLE!$G$14,$M26,GT$13))))</f>
        <v>1000000000000</v>
      </c>
      <c r="GU26" s="212">
        <f ca="1">IF($D26&lt;&gt;"Serviço",0,IF(OR(AND(AUTOEVENTO="Manual",$M26=1),$M26&gt;(ROW(PLE.lastrow)-ROW(PLE.firstrow))),0,IF(OFFSET(PLE!$G$14,$M26,GU$13)="",10^12,OFFSET(PLE!$G$14,$M26,GU$13))))</f>
        <v>1000000000000</v>
      </c>
      <c r="GV26" s="212">
        <f ca="1">IF($D26&lt;&gt;"Serviço",0,IF(OR(AND(AUTOEVENTO="Manual",$M26=1),$M26&gt;(ROW(PLE.lastrow)-ROW(PLE.firstrow))),0,IF(OFFSET(PLE!$G$14,$M26,GV$13)="",10^12,OFFSET(PLE!$G$14,$M26,GV$13))))</f>
        <v>1000000000000</v>
      </c>
      <c r="GW26" s="212">
        <f ca="1">IF($D26&lt;&gt;"Serviço",0,IF(OR(AND(AUTOEVENTO="Manual",$M26=1),$M26&gt;(ROW(PLE.lastrow)-ROW(PLE.firstrow))),0,IF(OFFSET(PLE!$G$14,$M26,GW$13)="",10^12,OFFSET(PLE!$G$14,$M26,GW$13))))</f>
        <v>1000000000000</v>
      </c>
      <c r="GX26" s="212">
        <f ca="1">IF($D26&lt;&gt;"Serviço",0,IF(OR(AND(AUTOEVENTO="Manual",$M26=1),$M26&gt;(ROW(PLE.lastrow)-ROW(PLE.firstrow))),0,IF(OFFSET(PLE!$G$14,$M26,GX$13)="",10^12,OFFSET(PLE!$G$14,$M26,GX$13))))</f>
        <v>1000000000000</v>
      </c>
      <c r="GY26" s="212">
        <f ca="1">IF($D26&lt;&gt;"Serviço",0,IF(OR(AND(AUTOEVENTO="Manual",$M26=1),$M26&gt;(ROW(PLE.lastrow)-ROW(PLE.firstrow))),0,IF(OFFSET(PLE!$G$14,$M26,GY$13)="",10^12,OFFSET(PLE!$G$14,$M26,GY$13))))</f>
        <v>1000000000000</v>
      </c>
      <c r="GZ26" s="212">
        <f ca="1">IF($D26&lt;&gt;"Serviço",0,IF(OR(AND(AUTOEVENTO="Manual",$M26=1),$M26&gt;(ROW(PLE.lastrow)-ROW(PLE.firstrow))),0,IF(OFFSET(PLE!$G$14,$M26,GZ$13)="",10^12,OFFSET(PLE!$G$14,$M26,GZ$13))))</f>
        <v>1000000000000</v>
      </c>
      <c r="HA26" s="212">
        <f ca="1">IF($D26&lt;&gt;"Serviço",0,IF(OR(AND(AUTOEVENTO="Manual",$M26=1),$M26&gt;(ROW(PLE.lastrow)-ROW(PLE.firstrow))),0,IF(OFFSET(PLE!$G$14,$M26,HA$13)="",10^12,OFFSET(PLE!$G$14,$M26,HA$13))))</f>
        <v>1000000000000</v>
      </c>
      <c r="HB26" s="212">
        <f ca="1">IF($D26&lt;&gt;"Serviço",0,IF(OR(AND(AUTOEVENTO="Manual",$M26=1),$M26&gt;(ROW(PLE.lastrow)-ROW(PLE.firstrow))),0,IF(OFFSET(PLE!$G$14,$M26,HB$13)="",10^12,OFFSET(PLE!$G$14,$M26,HB$13))))</f>
        <v>1000000000000</v>
      </c>
      <c r="HC26" s="212">
        <f ca="1">IF($D26&lt;&gt;"Serviço",0,IF(OR(AND(AUTOEVENTO="Manual",$M26=1),$M26&gt;(ROW(PLE.lastrow)-ROW(PLE.firstrow))),0,IF(OFFSET(PLE!$G$14,$M26,HC$13)="",10^12,OFFSET(PLE!$G$14,$M26,HC$13))))</f>
        <v>1000000000000</v>
      </c>
      <c r="HD26" s="212">
        <f ca="1">IF($D26&lt;&gt;"Serviço",0,IF(OR(AND(AUTOEVENTO="Manual",$M26=1),$M26&gt;(ROW(PLE.lastrow)-ROW(PLE.firstrow))),0,IF(OFFSET(PLE!$G$14,$M26,HD$13)="",10^12,OFFSET(PLE!$G$14,$M26,HD$13))))</f>
        <v>1000000000000</v>
      </c>
      <c r="HE26" s="212">
        <f ca="1">IF($D26&lt;&gt;"Serviço",0,IF(OR(AND(AUTOEVENTO="Manual",$M26=1),$M26&gt;(ROW(PLE.lastrow)-ROW(PLE.firstrow))),0,IF(OFFSET(PLE!$G$14,$M26,HE$13)="",10^12,OFFSET(PLE!$G$14,$M26,HE$13))))</f>
        <v>1000000000000</v>
      </c>
      <c r="HF26" s="212">
        <f ca="1">IF($D26&lt;&gt;"Serviço",0,IF(OR(AND(AUTOEVENTO="Manual",$M26=1),$M26&gt;(ROW(PLE.lastrow)-ROW(PLE.firstrow))),0,IF(OFFSET(PLE!$G$14,$M26,HF$13)="",10^12,OFFSET(PLE!$G$14,$M26,HF$13))))</f>
        <v>1000000000000</v>
      </c>
      <c r="HG26" s="212">
        <f ca="1">IF($D26&lt;&gt;"Serviço",0,IF(OR(AND(AUTOEVENTO="Manual",$M26=1),$M26&gt;(ROW(PLE.lastrow)-ROW(PLE.firstrow))),0,IF(OFFSET(PLE!$G$14,$M26,HG$13)="",10^12,OFFSET(PLE!$G$14,$M26,HG$13))))</f>
        <v>1000000000000</v>
      </c>
      <c r="HH26" s="212">
        <f ca="1">IF($D26&lt;&gt;"Serviço",0,IF(OR(AND(AUTOEVENTO="Manual",$M26=1),$M26&gt;(ROW(PLE.lastrow)-ROW(PLE.firstrow))),0,IF(OFFSET(PLE!$G$14,$M26,HH$13)="",10^12,OFFSET(PLE!$G$14,$M26,HH$13))))</f>
        <v>1000000000000</v>
      </c>
      <c r="HI26" s="212">
        <f ca="1">IF($D26&lt;&gt;"Serviço",0,IF(OR(AND(AUTOEVENTO="Manual",$M26=1),$M26&gt;(ROW(PLE.lastrow)-ROW(PLE.firstrow))),0,IF(OFFSET(PLE!$G$14,$M26,HI$13)="",10^12,OFFSET(PLE!$G$14,$M26,HI$13))))</f>
        <v>1000000000000</v>
      </c>
      <c r="HJ26" s="212">
        <f ca="1">IF($D26&lt;&gt;"Serviço",0,IF(OR(AND(AUTOEVENTO="Manual",$M26=1),$M26&gt;(ROW(PLE.lastrow)-ROW(PLE.firstrow))),0,IF(OFFSET(PLE!$G$14,$M26,HJ$13)="",10^12,OFFSET(PLE!$G$14,$M26,HJ$13))))</f>
        <v>1000000000000</v>
      </c>
      <c r="HK26" s="212">
        <f ca="1">IF($D26&lt;&gt;"Serviço",0,IF(OR(AND(AUTOEVENTO="Manual",$M26=1),$M26&gt;(ROW(PLE.lastrow)-ROW(PLE.firstrow))),0,IF(OFFSET(PLE!$G$14,$M26,HK$13)="",10^12,OFFSET(PLE!$G$14,$M26,HK$13))))</f>
        <v>1000000000000</v>
      </c>
    </row>
    <row r="27" spans="1:219" ht="267.75" x14ac:dyDescent="0.2">
      <c r="A27" s="9" t="str">
        <f t="shared" ref="A27:A32" ca="1" si="10">IF(AUTOEVENTO="Manual",IF(K27&lt;&gt;"",MIN(VALUE(LEFT(K27,FIND(".",K27)-1)),COUNTA(EVENTOS.Lista)),0),IF(OR($B27&gt;AUTOEVENTO,$B27="S",$B27=0),SUBSTITUTE(OFFSET($A27,-1,0),IF($D27="Serviço",".",""),""),ROW(A27)-ROW($A$15)&amp;"."))</f>
        <v>10</v>
      </c>
      <c r="B27" s="9" t="str">
        <f ca="1">OFFSET(ORÇAMENTO!C$15,ROW(B27)-ROW(B$15),0)</f>
        <v>S</v>
      </c>
      <c r="C27" s="9" t="str">
        <f ca="1">OFFSET(ORÇAMENTO!L$15,ROW(C27)-ROW(C$15),0)</f>
        <v>F</v>
      </c>
      <c r="D27" s="141" t="str">
        <f ca="1">OFFSET(ORÇAMENTO!N$15,ROW(D27)-ROW(D$15),0)</f>
        <v>Serviço</v>
      </c>
      <c r="E27" s="201" t="str">
        <f ca="1">OFFSET(ORÇAMENTO!O$15,ROW(E27)-ROW(E$15),0)</f>
        <v>1.4.2.</v>
      </c>
      <c r="F27" s="202" t="str">
        <f ca="1">OFFSET(ORÇAMENTO!R$15,ROW(F27)-ROW(F$15),0)</f>
        <v>(abra o arquivo 'Referência 11-2023.xls)</v>
      </c>
      <c r="G27" s="203" t="str">
        <f ca="1">IF($D27&lt;&gt;"Serviço","",OFFSET(ORÇAMENTO!S$15,ROW(G27)-ROW(G$15),0))</f>
        <v>-</v>
      </c>
      <c r="H27" s="147">
        <f ca="1">IF($D27&lt;&gt;"Serviço",0,IF(ACOMPANHAMENTO="BM",ROUND(OFFSET(ORÇAMENTO!AJ$15,ROW(H27)-ROW(H$15),0),15-13*ORÇAMENTO!$AF$7),SUMPRODUCT(($Q$12:$BO$12&lt;&gt;"")*ROUND($Q27:$BO27,15-13*ORÇAMENTO!$AF$7))))</f>
        <v>966.16</v>
      </c>
      <c r="I27" s="646" t="s">
        <v>489</v>
      </c>
      <c r="K27" s="204" t="s">
        <v>456</v>
      </c>
      <c r="L27" s="205" t="s">
        <v>257</v>
      </c>
      <c r="M27" s="206">
        <f ca="1">IF($D27&lt;&gt;"Serviço","",IF(AUTOEVENTO="manual",$A27,IF(ISERROR(MATCH($A27,$A$15:OFFSET($A27,-1,0),0)),MAX($M$15:OFFSET(M27,-1,0))+1,INDEX($M$15:OFFSET(M27,-1,0),MATCH($A27,$A$15:OFFSET($A27,-1,0),0)))))</f>
        <v>5</v>
      </c>
      <c r="N27" s="207" t="str">
        <f ca="1">IF($D27&lt;&gt;"Serviço","",IF(AUTOEVENTO="Manual",IF($A27=0,"&lt;-- defina o número do agrupador",OFFSET(EVENTOS!$D$14,$A27,0)),OFFSET($F$15,$A27,0)))</f>
        <v>DRENAGEM SUPERFICIAL</v>
      </c>
      <c r="O27" s="208"/>
      <c r="Q27" s="209">
        <f>6.01+34.43+48.32+11.13+33.65+6.55+4.51+5.43+8.01+10.74+14.36+9.17+6.02+8.45+13.45+10.57+9.05+8.19+8.21+6.05+6.04+5.18+23+43+33.8+10.4+48.28+34.39</f>
        <v>466.39</v>
      </c>
      <c r="R27" s="209">
        <v>355.51</v>
      </c>
      <c r="S27" s="209">
        <v>144.26</v>
      </c>
      <c r="T27" s="209"/>
      <c r="U27" s="209"/>
      <c r="V27" s="209"/>
      <c r="W27" s="209"/>
      <c r="X27" s="209"/>
      <c r="Y27" s="209"/>
      <c r="Z27" s="210"/>
      <c r="AA27" s="209"/>
      <c r="AB27" s="209"/>
      <c r="AC27" s="209"/>
      <c r="AD27" s="209"/>
      <c r="AE27" s="209"/>
      <c r="AF27" s="209"/>
      <c r="AG27" s="209"/>
      <c r="AH27" s="210"/>
      <c r="AI27" s="209"/>
      <c r="AJ27" s="209"/>
      <c r="AK27" s="209"/>
      <c r="AL27" s="209"/>
      <c r="AM27" s="209"/>
      <c r="AN27" s="209"/>
      <c r="AO27" s="209"/>
      <c r="AP27" s="210"/>
      <c r="AQ27" s="209"/>
      <c r="AR27" s="209"/>
      <c r="AS27" s="209"/>
      <c r="AT27" s="209"/>
      <c r="AU27" s="209"/>
      <c r="AV27" s="209"/>
      <c r="AW27" s="209"/>
      <c r="AX27" s="210"/>
      <c r="AY27" s="209"/>
      <c r="AZ27" s="209"/>
      <c r="BA27" s="209"/>
      <c r="BB27" s="209"/>
      <c r="BC27" s="209"/>
      <c r="BD27" s="209"/>
      <c r="BE27" s="209"/>
      <c r="BF27" s="210"/>
      <c r="BG27" s="209"/>
      <c r="BH27" s="209"/>
      <c r="BI27" s="209"/>
      <c r="BJ27" s="209"/>
      <c r="BK27" s="209"/>
      <c r="BL27" s="209"/>
      <c r="BM27" s="209"/>
      <c r="BN27" s="210"/>
      <c r="BP27" s="627">
        <f ca="1">IF(AND($D27="Serviço",BP$12&lt;&gt;0,$H27&gt;0,OR(AUTOEVENTO&lt;&gt;"manual",$M27&lt;&gt;1)),ROUND(OFFSET($P27,0,BP$13),15-13*ORÇAMENTO!$AF$7)/$H27*OFFSET(ORÇAMENTO!$X$15,ROW(BP27)-ROW(BP$15),0),0)</f>
        <v>43626.122337811546</v>
      </c>
      <c r="BQ27" s="628">
        <f ca="1">IF(AND($D27="Serviço",BQ$12&lt;&gt;0,$H27&gt;0,OR(AUTOEVENTO&lt;&gt;"manual",$M27&lt;&gt;1)),ROUND(OFFSET($P27,0,BQ$13),15-13*ORÇAMENTO!$AF$7)/$H27*OFFSET(ORÇAMENTO!$X$15,ROW(BQ27)-ROW(BQ$15),0),0)</f>
        <v>33254.406724662578</v>
      </c>
      <c r="BR27" s="628">
        <f ca="1">IF(AND($D27="Serviço",BR$12&lt;&gt;0,$H27&gt;0,OR(AUTOEVENTO&lt;&gt;"manual",$M27&lt;&gt;1)),ROUND(OFFSET($P27,0,BR$13),15-13*ORÇAMENTO!$AF$7)/$H27*OFFSET(ORÇAMENTO!$X$15,ROW(BR27)-ROW(BR$15),0),0)</f>
        <v>13494.080937525874</v>
      </c>
      <c r="BS27" s="628">
        <f ca="1">IF(AND($D27="Serviço",BS$12&lt;&gt;0,$H27&gt;0,OR(AUTOEVENTO&lt;&gt;"manual",$M27&lt;&gt;1)),ROUND(OFFSET($P27,0,BS$13),15-13*ORÇAMENTO!$AF$7)/$H27*OFFSET(ORÇAMENTO!$X$15,ROW(BS27)-ROW(BS$15),0),0)</f>
        <v>0</v>
      </c>
      <c r="BT27" s="628">
        <f ca="1">IF(AND($D27="Serviço",BT$12&lt;&gt;0,$H27&gt;0,OR(AUTOEVENTO&lt;&gt;"manual",$M27&lt;&gt;1)),ROUND(OFFSET($P27,0,BT$13),15-13*ORÇAMENTO!$AF$7)/$H27*OFFSET(ORÇAMENTO!$X$15,ROW(BT27)-ROW(BT$15),0),0)</f>
        <v>0</v>
      </c>
      <c r="BU27" s="628">
        <f ca="1">IF(AND($D27="Serviço",BU$12&lt;&gt;0,$H27&gt;0,OR(AUTOEVENTO&lt;&gt;"manual",$M27&lt;&gt;1)),ROUND(OFFSET($P27,0,BU$13),15-13*ORÇAMENTO!$AF$7)/$H27*OFFSET(ORÇAMENTO!$X$15,ROW(BU27)-ROW(BU$15),0),0)</f>
        <v>0</v>
      </c>
      <c r="BV27" s="628">
        <f ca="1">IF(AND($D27="Serviço",BV$12&lt;&gt;0,$H27&gt;0,OR(AUTOEVENTO&lt;&gt;"manual",$M27&lt;&gt;1)),ROUND(OFFSET($P27,0,BV$13),15-13*ORÇAMENTO!$AF$7)/$H27*OFFSET(ORÇAMENTO!$X$15,ROW(BV27)-ROW(BV$15),0),0)</f>
        <v>0</v>
      </c>
      <c r="BW27" s="628">
        <f ca="1">IF(AND($D27="Serviço",BW$12&lt;&gt;0,$H27&gt;0,OR(AUTOEVENTO&lt;&gt;"manual",$M27&lt;&gt;1)),ROUND(OFFSET($P27,0,BW$13),15-13*ORÇAMENTO!$AF$7)/$H27*OFFSET(ORÇAMENTO!$X$15,ROW(BW27)-ROW(BW$15),0),0)</f>
        <v>0</v>
      </c>
      <c r="BX27" s="628">
        <f ca="1">IF(AND($D27="Serviço",BX$12&lt;&gt;0,$H27&gt;0,OR(AUTOEVENTO&lt;&gt;"manual",$M27&lt;&gt;1)),ROUND(OFFSET($P27,0,BX$13),15-13*ORÇAMENTO!$AF$7)/$H27*OFFSET(ORÇAMENTO!$X$15,ROW(BX27)-ROW(BX$15),0),0)</f>
        <v>0</v>
      </c>
      <c r="BY27" s="629">
        <f ca="1">IF(AND($D27="Serviço",BY$12&lt;&gt;0,$H27&gt;0,OR(AUTOEVENTO&lt;&gt;"manual",$M27&lt;&gt;1)),ROUND(OFFSET($P27,0,BY$13),15-13*ORÇAMENTO!$AF$7)/$H27*OFFSET(ORÇAMENTO!$X$15,ROW(BY27)-ROW(BY$15),0),0)</f>
        <v>0</v>
      </c>
      <c r="BZ27" s="628">
        <f ca="1">IF(AND($D27="Serviço",BZ$12&lt;&gt;0,$H27&gt;0,OR(AUTOEVENTO&lt;&gt;"manual",$M27&lt;&gt;1)),ROUND(OFFSET($P27,0,BZ$13),15-13*ORÇAMENTO!$AF$7)/$H27*OFFSET(ORÇAMENTO!$X$15,ROW(BZ27)-ROW(BZ$15),0),0)</f>
        <v>0</v>
      </c>
      <c r="CA27" s="628">
        <f ca="1">IF(AND($D27="Serviço",CA$12&lt;&gt;0,$H27&gt;0,OR(AUTOEVENTO&lt;&gt;"manual",$M27&lt;&gt;1)),ROUND(OFFSET($P27,0,CA$13),15-13*ORÇAMENTO!$AF$7)/$H27*OFFSET(ORÇAMENTO!$X$15,ROW(CA27)-ROW(CA$15),0),0)</f>
        <v>0</v>
      </c>
      <c r="CB27" s="628">
        <f ca="1">IF(AND($D27="Serviço",CB$12&lt;&gt;0,$H27&gt;0,OR(AUTOEVENTO&lt;&gt;"manual",$M27&lt;&gt;1)),ROUND(OFFSET($P27,0,CB$13),15-13*ORÇAMENTO!$AF$7)/$H27*OFFSET(ORÇAMENTO!$X$15,ROW(CB27)-ROW(CB$15),0),0)</f>
        <v>0</v>
      </c>
      <c r="CC27" s="628">
        <f ca="1">IF(AND($D27="Serviço",CC$12&lt;&gt;0,$H27&gt;0,OR(AUTOEVENTO&lt;&gt;"manual",$M27&lt;&gt;1)),ROUND(OFFSET($P27,0,CC$13),15-13*ORÇAMENTO!$AF$7)/$H27*OFFSET(ORÇAMENTO!$X$15,ROW(CC27)-ROW(CC$15),0),0)</f>
        <v>0</v>
      </c>
      <c r="CD27" s="628">
        <f ca="1">IF(AND($D27="Serviço",CD$12&lt;&gt;0,$H27&gt;0,OR(AUTOEVENTO&lt;&gt;"manual",$M27&lt;&gt;1)),ROUND(OFFSET($P27,0,CD$13),15-13*ORÇAMENTO!$AF$7)/$H27*OFFSET(ORÇAMENTO!$X$15,ROW(CD27)-ROW(CD$15),0),0)</f>
        <v>0</v>
      </c>
      <c r="CE27" s="628">
        <f ca="1">IF(AND($D27="Serviço",CE$12&lt;&gt;0,$H27&gt;0,OR(AUTOEVENTO&lt;&gt;"manual",$M27&lt;&gt;1)),ROUND(OFFSET($P27,0,CE$13),15-13*ORÇAMENTO!$AF$7)/$H27*OFFSET(ORÇAMENTO!$X$15,ROW(CE27)-ROW(CE$15),0),0)</f>
        <v>0</v>
      </c>
      <c r="CF27" s="628">
        <f ca="1">IF(AND($D27="Serviço",CF$12&lt;&gt;0,$H27&gt;0,OR(AUTOEVENTO&lt;&gt;"manual",$M27&lt;&gt;1)),ROUND(OFFSET($P27,0,CF$13),15-13*ORÇAMENTO!$AF$7)/$H27*OFFSET(ORÇAMENTO!$X$15,ROW(CF27)-ROW(CF$15),0),0)</f>
        <v>0</v>
      </c>
      <c r="CG27" s="629">
        <f ca="1">IF(AND($D27="Serviço",CG$12&lt;&gt;0,$H27&gt;0,OR(AUTOEVENTO&lt;&gt;"manual",$M27&lt;&gt;1)),ROUND(OFFSET($P27,0,CG$13),15-13*ORÇAMENTO!$AF$7)/$H27*OFFSET(ORÇAMENTO!$X$15,ROW(CG27)-ROW(CG$15),0),0)</f>
        <v>0</v>
      </c>
      <c r="CH27" s="628">
        <f ca="1">IF(AND($D27="Serviço",CH$12&lt;&gt;0,$H27&gt;0,OR(AUTOEVENTO&lt;&gt;"manual",$M27&lt;&gt;1)),ROUND(OFFSET($P27,0,CH$13),15-13*ORÇAMENTO!$AF$7)/$H27*OFFSET(ORÇAMENTO!$X$15,ROW(CH27)-ROW(CH$15),0),0)</f>
        <v>0</v>
      </c>
      <c r="CI27" s="628">
        <f ca="1">IF(AND($D27="Serviço",CI$12&lt;&gt;0,$H27&gt;0,OR(AUTOEVENTO&lt;&gt;"manual",$M27&lt;&gt;1)),ROUND(OFFSET($P27,0,CI$13),15-13*ORÇAMENTO!$AF$7)/$H27*OFFSET(ORÇAMENTO!$X$15,ROW(CI27)-ROW(CI$15),0),0)</f>
        <v>0</v>
      </c>
      <c r="CJ27" s="628">
        <f ca="1">IF(AND($D27="Serviço",CJ$12&lt;&gt;0,$H27&gt;0,OR(AUTOEVENTO&lt;&gt;"manual",$M27&lt;&gt;1)),ROUND(OFFSET($P27,0,CJ$13),15-13*ORÇAMENTO!$AF$7)/$H27*OFFSET(ORÇAMENTO!$X$15,ROW(CJ27)-ROW(CJ$15),0),0)</f>
        <v>0</v>
      </c>
      <c r="CK27" s="628">
        <f ca="1">IF(AND($D27="Serviço",CK$12&lt;&gt;0,$H27&gt;0,OR(AUTOEVENTO&lt;&gt;"manual",$M27&lt;&gt;1)),ROUND(OFFSET($P27,0,CK$13),15-13*ORÇAMENTO!$AF$7)/$H27*OFFSET(ORÇAMENTO!$X$15,ROW(CK27)-ROW(CK$15),0),0)</f>
        <v>0</v>
      </c>
      <c r="CL27" s="628">
        <f ca="1">IF(AND($D27="Serviço",CL$12&lt;&gt;0,$H27&gt;0,OR(AUTOEVENTO&lt;&gt;"manual",$M27&lt;&gt;1)),ROUND(OFFSET($P27,0,CL$13),15-13*ORÇAMENTO!$AF$7)/$H27*OFFSET(ORÇAMENTO!$X$15,ROW(CL27)-ROW(CL$15),0),0)</f>
        <v>0</v>
      </c>
      <c r="CM27" s="628">
        <f ca="1">IF(AND($D27="Serviço",CM$12&lt;&gt;0,$H27&gt;0,OR(AUTOEVENTO&lt;&gt;"manual",$M27&lt;&gt;1)),ROUND(OFFSET($P27,0,CM$13),15-13*ORÇAMENTO!$AF$7)/$H27*OFFSET(ORÇAMENTO!$X$15,ROW(CM27)-ROW(CM$15),0),0)</f>
        <v>0</v>
      </c>
      <c r="CN27" s="628">
        <f ca="1">IF(AND($D27="Serviço",CN$12&lt;&gt;0,$H27&gt;0,OR(AUTOEVENTO&lt;&gt;"manual",$M27&lt;&gt;1)),ROUND(OFFSET($P27,0,CN$13),15-13*ORÇAMENTO!$AF$7)/$H27*OFFSET(ORÇAMENTO!$X$15,ROW(CN27)-ROW(CN$15),0),0)</f>
        <v>0</v>
      </c>
      <c r="CO27" s="629">
        <f ca="1">IF(AND($D27="Serviço",CO$12&lt;&gt;0,$H27&gt;0,OR(AUTOEVENTO&lt;&gt;"manual",$M27&lt;&gt;1)),ROUND(OFFSET($P27,0,CO$13),15-13*ORÇAMENTO!$AF$7)/$H27*OFFSET(ORÇAMENTO!$X$15,ROW(CO27)-ROW(CO$15),0),0)</f>
        <v>0</v>
      </c>
      <c r="CP27" s="628">
        <f ca="1">IF(AND($D27="Serviço",CP$12&lt;&gt;0,$H27&gt;0,OR(AUTOEVENTO&lt;&gt;"manual",$M27&lt;&gt;1)),ROUND(OFFSET($P27,0,CP$13),15-13*ORÇAMENTO!$AF$7)/$H27*OFFSET(ORÇAMENTO!$X$15,ROW(CP27)-ROW(CP$15),0),0)</f>
        <v>0</v>
      </c>
      <c r="CQ27" s="628">
        <f ca="1">IF(AND($D27="Serviço",CQ$12&lt;&gt;0,$H27&gt;0,OR(AUTOEVENTO&lt;&gt;"manual",$M27&lt;&gt;1)),ROUND(OFFSET($P27,0,CQ$13),15-13*ORÇAMENTO!$AF$7)/$H27*OFFSET(ORÇAMENTO!$X$15,ROW(CQ27)-ROW(CQ$15),0),0)</f>
        <v>0</v>
      </c>
      <c r="CR27" s="628">
        <f ca="1">IF(AND($D27="Serviço",CR$12&lt;&gt;0,$H27&gt;0,OR(AUTOEVENTO&lt;&gt;"manual",$M27&lt;&gt;1)),ROUND(OFFSET($P27,0,CR$13),15-13*ORÇAMENTO!$AF$7)/$H27*OFFSET(ORÇAMENTO!$X$15,ROW(CR27)-ROW(CR$15),0),0)</f>
        <v>0</v>
      </c>
      <c r="CS27" s="628">
        <f ca="1">IF(AND($D27="Serviço",CS$12&lt;&gt;0,$H27&gt;0,OR(AUTOEVENTO&lt;&gt;"manual",$M27&lt;&gt;1)),ROUND(OFFSET($P27,0,CS$13),15-13*ORÇAMENTO!$AF$7)/$H27*OFFSET(ORÇAMENTO!$X$15,ROW(CS27)-ROW(CS$15),0),0)</f>
        <v>0</v>
      </c>
      <c r="CT27" s="628">
        <f ca="1">IF(AND($D27="Serviço",CT$12&lt;&gt;0,$H27&gt;0,OR(AUTOEVENTO&lt;&gt;"manual",$M27&lt;&gt;1)),ROUND(OFFSET($P27,0,CT$13),15-13*ORÇAMENTO!$AF$7)/$H27*OFFSET(ORÇAMENTO!$X$15,ROW(CT27)-ROW(CT$15),0),0)</f>
        <v>0</v>
      </c>
      <c r="CU27" s="628">
        <f ca="1">IF(AND($D27="Serviço",CU$12&lt;&gt;0,$H27&gt;0,OR(AUTOEVENTO&lt;&gt;"manual",$M27&lt;&gt;1)),ROUND(OFFSET($P27,0,CU$13),15-13*ORÇAMENTO!$AF$7)/$H27*OFFSET(ORÇAMENTO!$X$15,ROW(CU27)-ROW(CU$15),0),0)</f>
        <v>0</v>
      </c>
      <c r="CV27" s="628">
        <f ca="1">IF(AND($D27="Serviço",CV$12&lt;&gt;0,$H27&gt;0,OR(AUTOEVENTO&lt;&gt;"manual",$M27&lt;&gt;1)),ROUND(OFFSET($P27,0,CV$13),15-13*ORÇAMENTO!$AF$7)/$H27*OFFSET(ORÇAMENTO!$X$15,ROW(CV27)-ROW(CV$15),0),0)</f>
        <v>0</v>
      </c>
      <c r="CW27" s="629">
        <f ca="1">IF(AND($D27="Serviço",CW$12&lt;&gt;0,$H27&gt;0,OR(AUTOEVENTO&lt;&gt;"manual",$M27&lt;&gt;1)),ROUND(OFFSET($P27,0,CW$13),15-13*ORÇAMENTO!$AF$7)/$H27*OFFSET(ORÇAMENTO!$X$15,ROW(CW27)-ROW(CW$15),0),0)</f>
        <v>0</v>
      </c>
      <c r="CX27" s="628">
        <f ca="1">IF(AND($D27="Serviço",CX$12&lt;&gt;0,$H27&gt;0,OR(AUTOEVENTO&lt;&gt;"manual",$M27&lt;&gt;1)),ROUND(OFFSET($P27,0,CX$13),15-13*ORÇAMENTO!$AF$7)/$H27*OFFSET(ORÇAMENTO!$X$15,ROW(CX27)-ROW(CX$15),0),0)</f>
        <v>0</v>
      </c>
      <c r="CY27" s="628">
        <f ca="1">IF(AND($D27="Serviço",CY$12&lt;&gt;0,$H27&gt;0,OR(AUTOEVENTO&lt;&gt;"manual",$M27&lt;&gt;1)),ROUND(OFFSET($P27,0,CY$13),15-13*ORÇAMENTO!$AF$7)/$H27*OFFSET(ORÇAMENTO!$X$15,ROW(CY27)-ROW(CY$15),0),0)</f>
        <v>0</v>
      </c>
      <c r="CZ27" s="628">
        <f ca="1">IF(AND($D27="Serviço",CZ$12&lt;&gt;0,$H27&gt;0,OR(AUTOEVENTO&lt;&gt;"manual",$M27&lt;&gt;1)),ROUND(OFFSET($P27,0,CZ$13),15-13*ORÇAMENTO!$AF$7)/$H27*OFFSET(ORÇAMENTO!$X$15,ROW(CZ27)-ROW(CZ$15),0),0)</f>
        <v>0</v>
      </c>
      <c r="DA27" s="628">
        <f ca="1">IF(AND($D27="Serviço",DA$12&lt;&gt;0,$H27&gt;0,OR(AUTOEVENTO&lt;&gt;"manual",$M27&lt;&gt;1)),ROUND(OFFSET($P27,0,DA$13),15-13*ORÇAMENTO!$AF$7)/$H27*OFFSET(ORÇAMENTO!$X$15,ROW(DA27)-ROW(DA$15),0),0)</f>
        <v>0</v>
      </c>
      <c r="DB27" s="628">
        <f ca="1">IF(AND($D27="Serviço",DB$12&lt;&gt;0,$H27&gt;0,OR(AUTOEVENTO&lt;&gt;"manual",$M27&lt;&gt;1)),ROUND(OFFSET($P27,0,DB$13),15-13*ORÇAMENTO!$AF$7)/$H27*OFFSET(ORÇAMENTO!$X$15,ROW(DB27)-ROW(DB$15),0),0)</f>
        <v>0</v>
      </c>
      <c r="DC27" s="628">
        <f ca="1">IF(AND($D27="Serviço",DC$12&lt;&gt;0,$H27&gt;0,OR(AUTOEVENTO&lt;&gt;"manual",$M27&lt;&gt;1)),ROUND(OFFSET($P27,0,DC$13),15-13*ORÇAMENTO!$AF$7)/$H27*OFFSET(ORÇAMENTO!$X$15,ROW(DC27)-ROW(DC$15),0),0)</f>
        <v>0</v>
      </c>
      <c r="DD27" s="628">
        <f ca="1">IF(AND($D27="Serviço",DD$12&lt;&gt;0,$H27&gt;0,OR(AUTOEVENTO&lt;&gt;"manual",$M27&lt;&gt;1)),ROUND(OFFSET($P27,0,DD$13),15-13*ORÇAMENTO!$AF$7)/$H27*OFFSET(ORÇAMENTO!$X$15,ROW(DD27)-ROW(DD$15),0),0)</f>
        <v>0</v>
      </c>
      <c r="DE27" s="629">
        <f ca="1">IF(AND($D27="Serviço",DE$12&lt;&gt;0,$H27&gt;0,OR(AUTOEVENTO&lt;&gt;"manual",$M27&lt;&gt;1)),ROUND(OFFSET($P27,0,DE$13),15-13*ORÇAMENTO!$AF$7)/$H27*OFFSET(ORÇAMENTO!$X$15,ROW(DE27)-ROW(DE$15),0),0)</f>
        <v>0</v>
      </c>
      <c r="DF27" s="628">
        <f ca="1">IF(AND($D27="Serviço",DF$12&lt;&gt;0,$H27&gt;0,OR(AUTOEVENTO&lt;&gt;"manual",$M27&lt;&gt;1)),ROUND(OFFSET($P27,0,DF$13),15-13*ORÇAMENTO!$AF$7)/$H27*OFFSET(ORÇAMENTO!$X$15,ROW(DF27)-ROW(DF$15),0),0)</f>
        <v>0</v>
      </c>
      <c r="DG27" s="628">
        <f ca="1">IF(AND($D27="Serviço",DG$12&lt;&gt;0,$H27&gt;0,OR(AUTOEVENTO&lt;&gt;"manual",$M27&lt;&gt;1)),ROUND(OFFSET($P27,0,DG$13),15-13*ORÇAMENTO!$AF$7)/$H27*OFFSET(ORÇAMENTO!$X$15,ROW(DG27)-ROW(DG$15),0),0)</f>
        <v>0</v>
      </c>
      <c r="DH27" s="628">
        <f ca="1">IF(AND($D27="Serviço",DH$12&lt;&gt;0,$H27&gt;0,OR(AUTOEVENTO&lt;&gt;"manual",$M27&lt;&gt;1)),ROUND(OFFSET($P27,0,DH$13),15-13*ORÇAMENTO!$AF$7)/$H27*OFFSET(ORÇAMENTO!$X$15,ROW(DH27)-ROW(DH$15),0),0)</f>
        <v>0</v>
      </c>
      <c r="DI27" s="628">
        <f ca="1">IF(AND($D27="Serviço",DI$12&lt;&gt;0,$H27&gt;0,OR(AUTOEVENTO&lt;&gt;"manual",$M27&lt;&gt;1)),ROUND(OFFSET($P27,0,DI$13),15-13*ORÇAMENTO!$AF$7)/$H27*OFFSET(ORÇAMENTO!$X$15,ROW(DI27)-ROW(DI$15),0),0)</f>
        <v>0</v>
      </c>
      <c r="DJ27" s="628">
        <f ca="1">IF(AND($D27="Serviço",DJ$12&lt;&gt;0,$H27&gt;0,OR(AUTOEVENTO&lt;&gt;"manual",$M27&lt;&gt;1)),ROUND(OFFSET($P27,0,DJ$13),15-13*ORÇAMENTO!$AF$7)/$H27*OFFSET(ORÇAMENTO!$X$15,ROW(DJ27)-ROW(DJ$15),0),0)</f>
        <v>0</v>
      </c>
      <c r="DK27" s="628">
        <f ca="1">IF(AND($D27="Serviço",DK$12&lt;&gt;0,$H27&gt;0,OR(AUTOEVENTO&lt;&gt;"manual",$M27&lt;&gt;1)),ROUND(OFFSET($P27,0,DK$13),15-13*ORÇAMENTO!$AF$7)/$H27*OFFSET(ORÇAMENTO!$X$15,ROW(DK27)-ROW(DK$15),0),0)</f>
        <v>0</v>
      </c>
      <c r="DL27" s="628">
        <f ca="1">IF(AND($D27="Serviço",DL$12&lt;&gt;0,$H27&gt;0,OR(AUTOEVENTO&lt;&gt;"manual",$M27&lt;&gt;1)),ROUND(OFFSET($P27,0,DL$13),15-13*ORÇAMENTO!$AF$7)/$H27*OFFSET(ORÇAMENTO!$X$15,ROW(DL27)-ROW(DL$15),0),0)</f>
        <v>0</v>
      </c>
      <c r="DM27" s="629">
        <f ca="1">IF(AND($D27="Serviço",DM$12&lt;&gt;0,$H27&gt;0,OR(AUTOEVENTO&lt;&gt;"manual",$M27&lt;&gt;1)),ROUND(OFFSET($P27,0,DM$13),15-13*ORÇAMENTO!$AF$7)/$H27*OFFSET(ORÇAMENTO!$X$15,ROW(DM27)-ROW(DM$15),0),0)</f>
        <v>0</v>
      </c>
      <c r="DO27" s="211">
        <f ca="1">IF($D27&lt;&gt;"Serviço",0,IF(AND(AUTOEVENTO="Manual",$M27=1),0,IF(OFFSET(CRONOPLE!$F$14,$M27,DO$13)="",10^12,OFFSET(CRONOPLE!$F$14,$M27,DO$13))))</f>
        <v>1</v>
      </c>
      <c r="DP27" s="211">
        <f ca="1">IF($D27&lt;&gt;"Serviço",0,IF(AND(AUTOEVENTO="Manual",$M27=1),0,IF(OFFSET(CRONOPLE!$F$14,$M27,DP$13)="",10^12,OFFSET(CRONOPLE!$F$14,$M27,DP$13))))</f>
        <v>3</v>
      </c>
      <c r="DQ27" s="211">
        <f ca="1">IF($D27&lt;&gt;"Serviço",0,IF(AND(AUTOEVENTO="Manual",$M27=1),0,IF(OFFSET(CRONOPLE!$F$14,$M27,DQ$13)="",10^12,OFFSET(CRONOPLE!$F$14,$M27,DQ$13))))</f>
        <v>3</v>
      </c>
      <c r="DR27" s="211">
        <f ca="1">IF($D27&lt;&gt;"Serviço",0,IF(AND(AUTOEVENTO="Manual",$M27=1),0,IF(OFFSET(CRONOPLE!$F$14,$M27,DR$13)="",10^12,OFFSET(CRONOPLE!$F$14,$M27,DR$13))))</f>
        <v>1000000000000</v>
      </c>
      <c r="DS27" s="211">
        <f ca="1">IF($D27&lt;&gt;"Serviço",0,IF(AND(AUTOEVENTO="Manual",$M27=1),0,IF(OFFSET(CRONOPLE!$F$14,$M27,DS$13)="",10^12,OFFSET(CRONOPLE!$F$14,$M27,DS$13))))</f>
        <v>1000000000000</v>
      </c>
      <c r="DT27" s="211">
        <f ca="1">IF($D27&lt;&gt;"Serviço",0,IF(AND(AUTOEVENTO="Manual",$M27=1),0,IF(OFFSET(CRONOPLE!$F$14,$M27,DT$13)="",10^12,OFFSET(CRONOPLE!$F$14,$M27,DT$13))))</f>
        <v>1000000000000</v>
      </c>
      <c r="DU27" s="211">
        <f ca="1">IF($D27&lt;&gt;"Serviço",0,IF(AND(AUTOEVENTO="Manual",$M27=1),0,IF(OFFSET(CRONOPLE!$F$14,$M27,DU$13)="",10^12,OFFSET(CRONOPLE!$F$14,$M27,DU$13))))</f>
        <v>1000000000000</v>
      </c>
      <c r="DV27" s="211">
        <f ca="1">IF($D27&lt;&gt;"Serviço",0,IF(AND(AUTOEVENTO="Manual",$M27=1),0,IF(OFFSET(CRONOPLE!$F$14,$M27,DV$13)="",10^12,OFFSET(CRONOPLE!$F$14,$M27,DV$13))))</f>
        <v>1000000000000</v>
      </c>
      <c r="DW27" s="211">
        <f ca="1">IF($D27&lt;&gt;"Serviço",0,IF(AND(AUTOEVENTO="Manual",$M27=1),0,IF(OFFSET(CRONOPLE!$F$14,$M27,DW$13)="",10^12,OFFSET(CRONOPLE!$F$14,$M27,DW$13))))</f>
        <v>1000000000000</v>
      </c>
      <c r="DX27" s="211">
        <f ca="1">IF($D27&lt;&gt;"Serviço",0,IF(AND(AUTOEVENTO="Manual",$M27=1),0,IF(OFFSET(CRONOPLE!$F$14,$M27,DX$13)="",10^12,OFFSET(CRONOPLE!$F$14,$M27,DX$13))))</f>
        <v>1000000000000</v>
      </c>
      <c r="DY27" s="211">
        <f ca="1">IF($D27&lt;&gt;"Serviço",0,IF(AND(AUTOEVENTO="Manual",$M27=1),0,IF(OFFSET(CRONOPLE!$F$14,$M27,DY$13)="",10^12,OFFSET(CRONOPLE!$F$14,$M27,DY$13))))</f>
        <v>1000000000000</v>
      </c>
      <c r="DZ27" s="211">
        <f ca="1">IF($D27&lt;&gt;"Serviço",0,IF(AND(AUTOEVENTO="Manual",$M27=1),0,IF(OFFSET(CRONOPLE!$F$14,$M27,DZ$13)="",10^12,OFFSET(CRONOPLE!$F$14,$M27,DZ$13))))</f>
        <v>1000000000000</v>
      </c>
      <c r="EA27" s="211">
        <f ca="1">IF($D27&lt;&gt;"Serviço",0,IF(AND(AUTOEVENTO="Manual",$M27=1),0,IF(OFFSET(CRONOPLE!$F$14,$M27,EA$13)="",10^12,OFFSET(CRONOPLE!$F$14,$M27,EA$13))))</f>
        <v>1000000000000</v>
      </c>
      <c r="EB27" s="211">
        <f ca="1">IF($D27&lt;&gt;"Serviço",0,IF(AND(AUTOEVENTO="Manual",$M27=1),0,IF(OFFSET(CRONOPLE!$F$14,$M27,EB$13)="",10^12,OFFSET(CRONOPLE!$F$14,$M27,EB$13))))</f>
        <v>1000000000000</v>
      </c>
      <c r="EC27" s="211">
        <f ca="1">IF($D27&lt;&gt;"Serviço",0,IF(AND(AUTOEVENTO="Manual",$M27=1),0,IF(OFFSET(CRONOPLE!$F$14,$M27,EC$13)="",10^12,OFFSET(CRONOPLE!$F$14,$M27,EC$13))))</f>
        <v>1000000000000</v>
      </c>
      <c r="ED27" s="211">
        <f ca="1">IF($D27&lt;&gt;"Serviço",0,IF(AND(AUTOEVENTO="Manual",$M27=1),0,IF(OFFSET(CRONOPLE!$F$14,$M27,ED$13)="",10^12,OFFSET(CRONOPLE!$F$14,$M27,ED$13))))</f>
        <v>1000000000000</v>
      </c>
      <c r="EE27" s="211">
        <f ca="1">IF($D27&lt;&gt;"Serviço",0,IF(AND(AUTOEVENTO="Manual",$M27=1),0,IF(OFFSET(CRONOPLE!$F$14,$M27,EE$13)="",10^12,OFFSET(CRONOPLE!$F$14,$M27,EE$13))))</f>
        <v>1000000000000</v>
      </c>
      <c r="EF27" s="211">
        <f ca="1">IF($D27&lt;&gt;"Serviço",0,IF(AND(AUTOEVENTO="Manual",$M27=1),0,IF(OFFSET(CRONOPLE!$F$14,$M27,EF$13)="",10^12,OFFSET(CRONOPLE!$F$14,$M27,EF$13))))</f>
        <v>1000000000000</v>
      </c>
      <c r="EG27" s="211">
        <f ca="1">IF($D27&lt;&gt;"Serviço",0,IF(AND(AUTOEVENTO="Manual",$M27=1),0,IF(OFFSET(CRONOPLE!$F$14,$M27,EG$13)="",10^12,OFFSET(CRONOPLE!$F$14,$M27,EG$13))))</f>
        <v>1000000000000</v>
      </c>
      <c r="EH27" s="211">
        <f ca="1">IF($D27&lt;&gt;"Serviço",0,IF(AND(AUTOEVENTO="Manual",$M27=1),0,IF(OFFSET(CRONOPLE!$F$14,$M27,EH$13)="",10^12,OFFSET(CRONOPLE!$F$14,$M27,EH$13))))</f>
        <v>1000000000000</v>
      </c>
      <c r="EI27" s="211">
        <f ca="1">IF($D27&lt;&gt;"Serviço",0,IF(AND(AUTOEVENTO="Manual",$M27=1),0,IF(OFFSET(CRONOPLE!$F$14,$M27,EI$13)="",10^12,OFFSET(CRONOPLE!$F$14,$M27,EI$13))))</f>
        <v>1000000000000</v>
      </c>
      <c r="EJ27" s="211">
        <f ca="1">IF($D27&lt;&gt;"Serviço",0,IF(AND(AUTOEVENTO="Manual",$M27=1),0,IF(OFFSET(CRONOPLE!$F$14,$M27,EJ$13)="",10^12,OFFSET(CRONOPLE!$F$14,$M27,EJ$13))))</f>
        <v>1000000000000</v>
      </c>
      <c r="EK27" s="211">
        <f ca="1">IF($D27&lt;&gt;"Serviço",0,IF(AND(AUTOEVENTO="Manual",$M27=1),0,IF(OFFSET(CRONOPLE!$F$14,$M27,EK$13)="",10^12,OFFSET(CRONOPLE!$F$14,$M27,EK$13))))</f>
        <v>1000000000000</v>
      </c>
      <c r="EL27" s="211">
        <f ca="1">IF($D27&lt;&gt;"Serviço",0,IF(AND(AUTOEVENTO="Manual",$M27=1),0,IF(OFFSET(CRONOPLE!$F$14,$M27,EL$13)="",10^12,OFFSET(CRONOPLE!$F$14,$M27,EL$13))))</f>
        <v>1000000000000</v>
      </c>
      <c r="EM27" s="211">
        <f ca="1">IF($D27&lt;&gt;"Serviço",0,IF(AND(AUTOEVENTO="Manual",$M27=1),0,IF(OFFSET(CRONOPLE!$F$14,$M27,EM$13)="",10^12,OFFSET(CRONOPLE!$F$14,$M27,EM$13))))</f>
        <v>1000000000000</v>
      </c>
      <c r="EN27" s="211">
        <f ca="1">IF($D27&lt;&gt;"Serviço",0,IF(AND(AUTOEVENTO="Manual",$M27=1),0,IF(OFFSET(CRONOPLE!$F$14,$M27,EN$13)="",10^12,OFFSET(CRONOPLE!$F$14,$M27,EN$13))))</f>
        <v>1000000000000</v>
      </c>
      <c r="EO27" s="211">
        <f ca="1">IF($D27&lt;&gt;"Serviço",0,IF(AND(AUTOEVENTO="Manual",$M27=1),0,IF(OFFSET(CRONOPLE!$F$14,$M27,EO$13)="",10^12,OFFSET(CRONOPLE!$F$14,$M27,EO$13))))</f>
        <v>1000000000000</v>
      </c>
      <c r="EP27" s="211">
        <f ca="1">IF($D27&lt;&gt;"Serviço",0,IF(AND(AUTOEVENTO="Manual",$M27=1),0,IF(OFFSET(CRONOPLE!$F$14,$M27,EP$13)="",10^12,OFFSET(CRONOPLE!$F$14,$M27,EP$13))))</f>
        <v>1000000000000</v>
      </c>
      <c r="EQ27" s="211">
        <f ca="1">IF($D27&lt;&gt;"Serviço",0,IF(AND(AUTOEVENTO="Manual",$M27=1),0,IF(OFFSET(CRONOPLE!$F$14,$M27,EQ$13)="",10^12,OFFSET(CRONOPLE!$F$14,$M27,EQ$13))))</f>
        <v>1000000000000</v>
      </c>
      <c r="ER27" s="211">
        <f ca="1">IF($D27&lt;&gt;"Serviço",0,IF(AND(AUTOEVENTO="Manual",$M27=1),0,IF(OFFSET(CRONOPLE!$F$14,$M27,ER$13)="",10^12,OFFSET(CRONOPLE!$F$14,$M27,ER$13))))</f>
        <v>1000000000000</v>
      </c>
      <c r="ES27" s="211">
        <f ca="1">IF($D27&lt;&gt;"Serviço",0,IF(AND(AUTOEVENTO="Manual",$M27=1),0,IF(OFFSET(CRONOPLE!$F$14,$M27,ES$13)="",10^12,OFFSET(CRONOPLE!$F$14,$M27,ES$13))))</f>
        <v>1000000000000</v>
      </c>
      <c r="ET27" s="211">
        <f ca="1">IF($D27&lt;&gt;"Serviço",0,IF(AND(AUTOEVENTO="Manual",$M27=1),0,IF(OFFSET(CRONOPLE!$F$14,$M27,ET$13)="",10^12,OFFSET(CRONOPLE!$F$14,$M27,ET$13))))</f>
        <v>1000000000000</v>
      </c>
      <c r="EU27" s="211">
        <f ca="1">IF($D27&lt;&gt;"Serviço",0,IF(AND(AUTOEVENTO="Manual",$M27=1),0,IF(OFFSET(CRONOPLE!$F$14,$M27,EU$13)="",10^12,OFFSET(CRONOPLE!$F$14,$M27,EU$13))))</f>
        <v>1000000000000</v>
      </c>
      <c r="EV27" s="211">
        <f ca="1">IF($D27&lt;&gt;"Serviço",0,IF(AND(AUTOEVENTO="Manual",$M27=1),0,IF(OFFSET(CRONOPLE!$F$14,$M27,EV$13)="",10^12,OFFSET(CRONOPLE!$F$14,$M27,EV$13))))</f>
        <v>1000000000000</v>
      </c>
      <c r="EW27" s="211">
        <f ca="1">IF($D27&lt;&gt;"Serviço",0,IF(AND(AUTOEVENTO="Manual",$M27=1),0,IF(OFFSET(CRONOPLE!$F$14,$M27,EW$13)="",10^12,OFFSET(CRONOPLE!$F$14,$M27,EW$13))))</f>
        <v>1000000000000</v>
      </c>
      <c r="EX27" s="211">
        <f ca="1">IF($D27&lt;&gt;"Serviço",0,IF(AND(AUTOEVENTO="Manual",$M27=1),0,IF(OFFSET(CRONOPLE!$F$14,$M27,EX$13)="",10^12,OFFSET(CRONOPLE!$F$14,$M27,EX$13))))</f>
        <v>1000000000000</v>
      </c>
      <c r="EY27" s="211">
        <f ca="1">IF($D27&lt;&gt;"Serviço",0,IF(AND(AUTOEVENTO="Manual",$M27=1),0,IF(OFFSET(CRONOPLE!$F$14,$M27,EY$13)="",10^12,OFFSET(CRONOPLE!$F$14,$M27,EY$13))))</f>
        <v>1000000000000</v>
      </c>
      <c r="EZ27" s="211">
        <f ca="1">IF($D27&lt;&gt;"Serviço",0,IF(AND(AUTOEVENTO="Manual",$M27=1),0,IF(OFFSET(CRONOPLE!$F$14,$M27,EZ$13)="",10^12,OFFSET(CRONOPLE!$F$14,$M27,EZ$13))))</f>
        <v>1000000000000</v>
      </c>
      <c r="FA27" s="211">
        <f ca="1">IF($D27&lt;&gt;"Serviço",0,IF(AND(AUTOEVENTO="Manual",$M27=1),0,IF(OFFSET(CRONOPLE!$F$14,$M27,FA$13)="",10^12,OFFSET(CRONOPLE!$F$14,$M27,FA$13))))</f>
        <v>1000000000000</v>
      </c>
      <c r="FB27" s="211">
        <f ca="1">IF($D27&lt;&gt;"Serviço",0,IF(AND(AUTOEVENTO="Manual",$M27=1),0,IF(OFFSET(CRONOPLE!$F$14,$M27,FB$13)="",10^12,OFFSET(CRONOPLE!$F$14,$M27,FB$13))))</f>
        <v>1000000000000</v>
      </c>
      <c r="FC27" s="211">
        <f ca="1">IF($D27&lt;&gt;"Serviço",0,IF(AND(AUTOEVENTO="Manual",$M27=1),0,IF(OFFSET(CRONOPLE!$F$14,$M27,FC$13)="",10^12,OFFSET(CRONOPLE!$F$14,$M27,FC$13))))</f>
        <v>1000000000000</v>
      </c>
      <c r="FD27" s="211">
        <f ca="1">IF($D27&lt;&gt;"Serviço",0,IF(AND(AUTOEVENTO="Manual",$M27=1),0,IF(OFFSET(CRONOPLE!$F$14,$M27,FD$13)="",10^12,OFFSET(CRONOPLE!$F$14,$M27,FD$13))))</f>
        <v>1000000000000</v>
      </c>
      <c r="FE27" s="211">
        <f ca="1">IF($D27&lt;&gt;"Serviço",0,IF(AND(AUTOEVENTO="Manual",$M27=1),0,IF(OFFSET(CRONOPLE!$F$14,$M27,FE$13)="",10^12,OFFSET(CRONOPLE!$F$14,$M27,FE$13))))</f>
        <v>1000000000000</v>
      </c>
      <c r="FF27" s="211">
        <f ca="1">IF($D27&lt;&gt;"Serviço",0,IF(AND(AUTOEVENTO="Manual",$M27=1),0,IF(OFFSET(CRONOPLE!$F$14,$M27,FF$13)="",10^12,OFFSET(CRONOPLE!$F$14,$M27,FF$13))))</f>
        <v>1000000000000</v>
      </c>
      <c r="FG27" s="211">
        <f ca="1">IF($D27&lt;&gt;"Serviço",0,IF(AND(AUTOEVENTO="Manual",$M27=1),0,IF(OFFSET(CRONOPLE!$F$14,$M27,FG$13)="",10^12,OFFSET(CRONOPLE!$F$14,$M27,FG$13))))</f>
        <v>1000000000000</v>
      </c>
      <c r="FH27" s="211">
        <f ca="1">IF($D27&lt;&gt;"Serviço",0,IF(AND(AUTOEVENTO="Manual",$M27=1),0,IF(OFFSET(CRONOPLE!$F$14,$M27,FH$13)="",10^12,OFFSET(CRONOPLE!$F$14,$M27,FH$13))))</f>
        <v>1000000000000</v>
      </c>
      <c r="FI27" s="211">
        <f ca="1">IF($D27&lt;&gt;"Serviço",0,IF(AND(AUTOEVENTO="Manual",$M27=1),0,IF(OFFSET(CRONOPLE!$F$14,$M27,FI$13)="",10^12,OFFSET(CRONOPLE!$F$14,$M27,FI$13))))</f>
        <v>1000000000000</v>
      </c>
      <c r="FJ27" s="211">
        <f ca="1">IF($D27&lt;&gt;"Serviço",0,IF(AND(AUTOEVENTO="Manual",$M27=1),0,IF(OFFSET(CRONOPLE!$F$14,$M27,FJ$13)="",10^12,OFFSET(CRONOPLE!$F$14,$M27,FJ$13))))</f>
        <v>1000000000000</v>
      </c>
      <c r="FK27" s="211">
        <f ca="1">IF($D27&lt;&gt;"Serviço",0,IF(AND(AUTOEVENTO="Manual",$M27=1),0,IF(OFFSET(CRONOPLE!$F$14,$M27,FK$13)="",10^12,OFFSET(CRONOPLE!$F$14,$M27,FK$13))))</f>
        <v>1000000000000</v>
      </c>
      <c r="FL27" s="211">
        <f ca="1">IF($D27&lt;&gt;"Serviço",0,IF(AND(AUTOEVENTO="Manual",$M27=1),0,IF(OFFSET(CRONOPLE!$F$14,$M27,FL$13)="",10^12,OFFSET(CRONOPLE!$F$14,$M27,FL$13))))</f>
        <v>1000000000000</v>
      </c>
      <c r="FN27" s="212">
        <f ca="1">IF($D27&lt;&gt;"Serviço",0,IF(OR(AND(AUTOEVENTO="Manual",$M27=1),$M27&gt;(ROW(PLE.lastrow)-ROW(PLE.firstrow))),0,IF(OFFSET(PLE!$G$14,$M27,FN$13)="",10^12,OFFSET(PLE!$G$14,$M27,FN$13))))</f>
        <v>1000000000000</v>
      </c>
      <c r="FO27" s="212">
        <f ca="1">IF($D27&lt;&gt;"Serviço",0,IF(OR(AND(AUTOEVENTO="Manual",$M27=1),$M27&gt;(ROW(PLE.lastrow)-ROW(PLE.firstrow))),0,IF(OFFSET(PLE!$G$14,$M27,FO$13)="",10^12,OFFSET(PLE!$G$14,$M27,FO$13))))</f>
        <v>1000000000000</v>
      </c>
      <c r="FP27" s="212">
        <f ca="1">IF($D27&lt;&gt;"Serviço",0,IF(OR(AND(AUTOEVENTO="Manual",$M27=1),$M27&gt;(ROW(PLE.lastrow)-ROW(PLE.firstrow))),0,IF(OFFSET(PLE!$G$14,$M27,FP$13)="",10^12,OFFSET(PLE!$G$14,$M27,FP$13))))</f>
        <v>1000000000000</v>
      </c>
      <c r="FQ27" s="212">
        <f ca="1">IF($D27&lt;&gt;"Serviço",0,IF(OR(AND(AUTOEVENTO="Manual",$M27=1),$M27&gt;(ROW(PLE.lastrow)-ROW(PLE.firstrow))),0,IF(OFFSET(PLE!$G$14,$M27,FQ$13)="",10^12,OFFSET(PLE!$G$14,$M27,FQ$13))))</f>
        <v>1000000000000</v>
      </c>
      <c r="FR27" s="212">
        <f ca="1">IF($D27&lt;&gt;"Serviço",0,IF(OR(AND(AUTOEVENTO="Manual",$M27=1),$M27&gt;(ROW(PLE.lastrow)-ROW(PLE.firstrow))),0,IF(OFFSET(PLE!$G$14,$M27,FR$13)="",10^12,OFFSET(PLE!$G$14,$M27,FR$13))))</f>
        <v>1000000000000</v>
      </c>
      <c r="FS27" s="212">
        <f ca="1">IF($D27&lt;&gt;"Serviço",0,IF(OR(AND(AUTOEVENTO="Manual",$M27=1),$M27&gt;(ROW(PLE.lastrow)-ROW(PLE.firstrow))),0,IF(OFFSET(PLE!$G$14,$M27,FS$13)="",10^12,OFFSET(PLE!$G$14,$M27,FS$13))))</f>
        <v>1000000000000</v>
      </c>
      <c r="FT27" s="212">
        <f ca="1">IF($D27&lt;&gt;"Serviço",0,IF(OR(AND(AUTOEVENTO="Manual",$M27=1),$M27&gt;(ROW(PLE.lastrow)-ROW(PLE.firstrow))),0,IF(OFFSET(PLE!$G$14,$M27,FT$13)="",10^12,OFFSET(PLE!$G$14,$M27,FT$13))))</f>
        <v>1000000000000</v>
      </c>
      <c r="FU27" s="212">
        <f ca="1">IF($D27&lt;&gt;"Serviço",0,IF(OR(AND(AUTOEVENTO="Manual",$M27=1),$M27&gt;(ROW(PLE.lastrow)-ROW(PLE.firstrow))),0,IF(OFFSET(PLE!$G$14,$M27,FU$13)="",10^12,OFFSET(PLE!$G$14,$M27,FU$13))))</f>
        <v>1000000000000</v>
      </c>
      <c r="FV27" s="212">
        <f ca="1">IF($D27&lt;&gt;"Serviço",0,IF(OR(AND(AUTOEVENTO="Manual",$M27=1),$M27&gt;(ROW(PLE.lastrow)-ROW(PLE.firstrow))),0,IF(OFFSET(PLE!$G$14,$M27,FV$13)="",10^12,OFFSET(PLE!$G$14,$M27,FV$13))))</f>
        <v>1000000000000</v>
      </c>
      <c r="FW27" s="212">
        <f ca="1">IF($D27&lt;&gt;"Serviço",0,IF(OR(AND(AUTOEVENTO="Manual",$M27=1),$M27&gt;(ROW(PLE.lastrow)-ROW(PLE.firstrow))),0,IF(OFFSET(PLE!$G$14,$M27,FW$13)="",10^12,OFFSET(PLE!$G$14,$M27,FW$13))))</f>
        <v>1000000000000</v>
      </c>
      <c r="FX27" s="212">
        <f ca="1">IF($D27&lt;&gt;"Serviço",0,IF(OR(AND(AUTOEVENTO="Manual",$M27=1),$M27&gt;(ROW(PLE.lastrow)-ROW(PLE.firstrow))),0,IF(OFFSET(PLE!$G$14,$M27,FX$13)="",10^12,OFFSET(PLE!$G$14,$M27,FX$13))))</f>
        <v>1000000000000</v>
      </c>
      <c r="FY27" s="212">
        <f ca="1">IF($D27&lt;&gt;"Serviço",0,IF(OR(AND(AUTOEVENTO="Manual",$M27=1),$M27&gt;(ROW(PLE.lastrow)-ROW(PLE.firstrow))),0,IF(OFFSET(PLE!$G$14,$M27,FY$13)="",10^12,OFFSET(PLE!$G$14,$M27,FY$13))))</f>
        <v>1000000000000</v>
      </c>
      <c r="FZ27" s="212">
        <f ca="1">IF($D27&lt;&gt;"Serviço",0,IF(OR(AND(AUTOEVENTO="Manual",$M27=1),$M27&gt;(ROW(PLE.lastrow)-ROW(PLE.firstrow))),0,IF(OFFSET(PLE!$G$14,$M27,FZ$13)="",10^12,OFFSET(PLE!$G$14,$M27,FZ$13))))</f>
        <v>1000000000000</v>
      </c>
      <c r="GA27" s="212">
        <f ca="1">IF($D27&lt;&gt;"Serviço",0,IF(OR(AND(AUTOEVENTO="Manual",$M27=1),$M27&gt;(ROW(PLE.lastrow)-ROW(PLE.firstrow))),0,IF(OFFSET(PLE!$G$14,$M27,GA$13)="",10^12,OFFSET(PLE!$G$14,$M27,GA$13))))</f>
        <v>1000000000000</v>
      </c>
      <c r="GB27" s="212">
        <f ca="1">IF($D27&lt;&gt;"Serviço",0,IF(OR(AND(AUTOEVENTO="Manual",$M27=1),$M27&gt;(ROW(PLE.lastrow)-ROW(PLE.firstrow))),0,IF(OFFSET(PLE!$G$14,$M27,GB$13)="",10^12,OFFSET(PLE!$G$14,$M27,GB$13))))</f>
        <v>1000000000000</v>
      </c>
      <c r="GC27" s="212">
        <f ca="1">IF($D27&lt;&gt;"Serviço",0,IF(OR(AND(AUTOEVENTO="Manual",$M27=1),$M27&gt;(ROW(PLE.lastrow)-ROW(PLE.firstrow))),0,IF(OFFSET(PLE!$G$14,$M27,GC$13)="",10^12,OFFSET(PLE!$G$14,$M27,GC$13))))</f>
        <v>1000000000000</v>
      </c>
      <c r="GD27" s="212">
        <f ca="1">IF($D27&lt;&gt;"Serviço",0,IF(OR(AND(AUTOEVENTO="Manual",$M27=1),$M27&gt;(ROW(PLE.lastrow)-ROW(PLE.firstrow))),0,IF(OFFSET(PLE!$G$14,$M27,GD$13)="",10^12,OFFSET(PLE!$G$14,$M27,GD$13))))</f>
        <v>1000000000000</v>
      </c>
      <c r="GE27" s="212">
        <f ca="1">IF($D27&lt;&gt;"Serviço",0,IF(OR(AND(AUTOEVENTO="Manual",$M27=1),$M27&gt;(ROW(PLE.lastrow)-ROW(PLE.firstrow))),0,IF(OFFSET(PLE!$G$14,$M27,GE$13)="",10^12,OFFSET(PLE!$G$14,$M27,GE$13))))</f>
        <v>1000000000000</v>
      </c>
      <c r="GF27" s="212">
        <f ca="1">IF($D27&lt;&gt;"Serviço",0,IF(OR(AND(AUTOEVENTO="Manual",$M27=1),$M27&gt;(ROW(PLE.lastrow)-ROW(PLE.firstrow))),0,IF(OFFSET(PLE!$G$14,$M27,GF$13)="",10^12,OFFSET(PLE!$G$14,$M27,GF$13))))</f>
        <v>1000000000000</v>
      </c>
      <c r="GG27" s="212">
        <f ca="1">IF($D27&lt;&gt;"Serviço",0,IF(OR(AND(AUTOEVENTO="Manual",$M27=1),$M27&gt;(ROW(PLE.lastrow)-ROW(PLE.firstrow))),0,IF(OFFSET(PLE!$G$14,$M27,GG$13)="",10^12,OFFSET(PLE!$G$14,$M27,GG$13))))</f>
        <v>1000000000000</v>
      </c>
      <c r="GH27" s="212">
        <f ca="1">IF($D27&lt;&gt;"Serviço",0,IF(OR(AND(AUTOEVENTO="Manual",$M27=1),$M27&gt;(ROW(PLE.lastrow)-ROW(PLE.firstrow))),0,IF(OFFSET(PLE!$G$14,$M27,GH$13)="",10^12,OFFSET(PLE!$G$14,$M27,GH$13))))</f>
        <v>1000000000000</v>
      </c>
      <c r="GI27" s="212">
        <f ca="1">IF($D27&lt;&gt;"Serviço",0,IF(OR(AND(AUTOEVENTO="Manual",$M27=1),$M27&gt;(ROW(PLE.lastrow)-ROW(PLE.firstrow))),0,IF(OFFSET(PLE!$G$14,$M27,GI$13)="",10^12,OFFSET(PLE!$G$14,$M27,GI$13))))</f>
        <v>1000000000000</v>
      </c>
      <c r="GJ27" s="212">
        <f ca="1">IF($D27&lt;&gt;"Serviço",0,IF(OR(AND(AUTOEVENTO="Manual",$M27=1),$M27&gt;(ROW(PLE.lastrow)-ROW(PLE.firstrow))),0,IF(OFFSET(PLE!$G$14,$M27,GJ$13)="",10^12,OFFSET(PLE!$G$14,$M27,GJ$13))))</f>
        <v>1000000000000</v>
      </c>
      <c r="GK27" s="212">
        <f ca="1">IF($D27&lt;&gt;"Serviço",0,IF(OR(AND(AUTOEVENTO="Manual",$M27=1),$M27&gt;(ROW(PLE.lastrow)-ROW(PLE.firstrow))),0,IF(OFFSET(PLE!$G$14,$M27,GK$13)="",10^12,OFFSET(PLE!$G$14,$M27,GK$13))))</f>
        <v>1000000000000</v>
      </c>
      <c r="GL27" s="212">
        <f ca="1">IF($D27&lt;&gt;"Serviço",0,IF(OR(AND(AUTOEVENTO="Manual",$M27=1),$M27&gt;(ROW(PLE.lastrow)-ROW(PLE.firstrow))),0,IF(OFFSET(PLE!$G$14,$M27,GL$13)="",10^12,OFFSET(PLE!$G$14,$M27,GL$13))))</f>
        <v>1000000000000</v>
      </c>
      <c r="GM27" s="212">
        <f ca="1">IF($D27&lt;&gt;"Serviço",0,IF(OR(AND(AUTOEVENTO="Manual",$M27=1),$M27&gt;(ROW(PLE.lastrow)-ROW(PLE.firstrow))),0,IF(OFFSET(PLE!$G$14,$M27,GM$13)="",10^12,OFFSET(PLE!$G$14,$M27,GM$13))))</f>
        <v>1000000000000</v>
      </c>
      <c r="GN27" s="212">
        <f ca="1">IF($D27&lt;&gt;"Serviço",0,IF(OR(AND(AUTOEVENTO="Manual",$M27=1),$M27&gt;(ROW(PLE.lastrow)-ROW(PLE.firstrow))),0,IF(OFFSET(PLE!$G$14,$M27,GN$13)="",10^12,OFFSET(PLE!$G$14,$M27,GN$13))))</f>
        <v>1000000000000</v>
      </c>
      <c r="GO27" s="212">
        <f ca="1">IF($D27&lt;&gt;"Serviço",0,IF(OR(AND(AUTOEVENTO="Manual",$M27=1),$M27&gt;(ROW(PLE.lastrow)-ROW(PLE.firstrow))),0,IF(OFFSET(PLE!$G$14,$M27,GO$13)="",10^12,OFFSET(PLE!$G$14,$M27,GO$13))))</f>
        <v>1000000000000</v>
      </c>
      <c r="GP27" s="212">
        <f ca="1">IF($D27&lt;&gt;"Serviço",0,IF(OR(AND(AUTOEVENTO="Manual",$M27=1),$M27&gt;(ROW(PLE.lastrow)-ROW(PLE.firstrow))),0,IF(OFFSET(PLE!$G$14,$M27,GP$13)="",10^12,OFFSET(PLE!$G$14,$M27,GP$13))))</f>
        <v>1000000000000</v>
      </c>
      <c r="GQ27" s="212">
        <f ca="1">IF($D27&lt;&gt;"Serviço",0,IF(OR(AND(AUTOEVENTO="Manual",$M27=1),$M27&gt;(ROW(PLE.lastrow)-ROW(PLE.firstrow))),0,IF(OFFSET(PLE!$G$14,$M27,GQ$13)="",10^12,OFFSET(PLE!$G$14,$M27,GQ$13))))</f>
        <v>1000000000000</v>
      </c>
      <c r="GR27" s="212">
        <f ca="1">IF($D27&lt;&gt;"Serviço",0,IF(OR(AND(AUTOEVENTO="Manual",$M27=1),$M27&gt;(ROW(PLE.lastrow)-ROW(PLE.firstrow))),0,IF(OFFSET(PLE!$G$14,$M27,GR$13)="",10^12,OFFSET(PLE!$G$14,$M27,GR$13))))</f>
        <v>1000000000000</v>
      </c>
      <c r="GS27" s="212">
        <f ca="1">IF($D27&lt;&gt;"Serviço",0,IF(OR(AND(AUTOEVENTO="Manual",$M27=1),$M27&gt;(ROW(PLE.lastrow)-ROW(PLE.firstrow))),0,IF(OFFSET(PLE!$G$14,$M27,GS$13)="",10^12,OFFSET(PLE!$G$14,$M27,GS$13))))</f>
        <v>1000000000000</v>
      </c>
      <c r="GT27" s="212">
        <f ca="1">IF($D27&lt;&gt;"Serviço",0,IF(OR(AND(AUTOEVENTO="Manual",$M27=1),$M27&gt;(ROW(PLE.lastrow)-ROW(PLE.firstrow))),0,IF(OFFSET(PLE!$G$14,$M27,GT$13)="",10^12,OFFSET(PLE!$G$14,$M27,GT$13))))</f>
        <v>1000000000000</v>
      </c>
      <c r="GU27" s="212">
        <f ca="1">IF($D27&lt;&gt;"Serviço",0,IF(OR(AND(AUTOEVENTO="Manual",$M27=1),$M27&gt;(ROW(PLE.lastrow)-ROW(PLE.firstrow))),0,IF(OFFSET(PLE!$G$14,$M27,GU$13)="",10^12,OFFSET(PLE!$G$14,$M27,GU$13))))</f>
        <v>1000000000000</v>
      </c>
      <c r="GV27" s="212">
        <f ca="1">IF($D27&lt;&gt;"Serviço",0,IF(OR(AND(AUTOEVENTO="Manual",$M27=1),$M27&gt;(ROW(PLE.lastrow)-ROW(PLE.firstrow))),0,IF(OFFSET(PLE!$G$14,$M27,GV$13)="",10^12,OFFSET(PLE!$G$14,$M27,GV$13))))</f>
        <v>1000000000000</v>
      </c>
      <c r="GW27" s="212">
        <f ca="1">IF($D27&lt;&gt;"Serviço",0,IF(OR(AND(AUTOEVENTO="Manual",$M27=1),$M27&gt;(ROW(PLE.lastrow)-ROW(PLE.firstrow))),0,IF(OFFSET(PLE!$G$14,$M27,GW$13)="",10^12,OFFSET(PLE!$G$14,$M27,GW$13))))</f>
        <v>1000000000000</v>
      </c>
      <c r="GX27" s="212">
        <f ca="1">IF($D27&lt;&gt;"Serviço",0,IF(OR(AND(AUTOEVENTO="Manual",$M27=1),$M27&gt;(ROW(PLE.lastrow)-ROW(PLE.firstrow))),0,IF(OFFSET(PLE!$G$14,$M27,GX$13)="",10^12,OFFSET(PLE!$G$14,$M27,GX$13))))</f>
        <v>1000000000000</v>
      </c>
      <c r="GY27" s="212">
        <f ca="1">IF($D27&lt;&gt;"Serviço",0,IF(OR(AND(AUTOEVENTO="Manual",$M27=1),$M27&gt;(ROW(PLE.lastrow)-ROW(PLE.firstrow))),0,IF(OFFSET(PLE!$G$14,$M27,GY$13)="",10^12,OFFSET(PLE!$G$14,$M27,GY$13))))</f>
        <v>1000000000000</v>
      </c>
      <c r="GZ27" s="212">
        <f ca="1">IF($D27&lt;&gt;"Serviço",0,IF(OR(AND(AUTOEVENTO="Manual",$M27=1),$M27&gt;(ROW(PLE.lastrow)-ROW(PLE.firstrow))),0,IF(OFFSET(PLE!$G$14,$M27,GZ$13)="",10^12,OFFSET(PLE!$G$14,$M27,GZ$13))))</f>
        <v>1000000000000</v>
      </c>
      <c r="HA27" s="212">
        <f ca="1">IF($D27&lt;&gt;"Serviço",0,IF(OR(AND(AUTOEVENTO="Manual",$M27=1),$M27&gt;(ROW(PLE.lastrow)-ROW(PLE.firstrow))),0,IF(OFFSET(PLE!$G$14,$M27,HA$13)="",10^12,OFFSET(PLE!$G$14,$M27,HA$13))))</f>
        <v>1000000000000</v>
      </c>
      <c r="HB27" s="212">
        <f ca="1">IF($D27&lt;&gt;"Serviço",0,IF(OR(AND(AUTOEVENTO="Manual",$M27=1),$M27&gt;(ROW(PLE.lastrow)-ROW(PLE.firstrow))),0,IF(OFFSET(PLE!$G$14,$M27,HB$13)="",10^12,OFFSET(PLE!$G$14,$M27,HB$13))))</f>
        <v>1000000000000</v>
      </c>
      <c r="HC27" s="212">
        <f ca="1">IF($D27&lt;&gt;"Serviço",0,IF(OR(AND(AUTOEVENTO="Manual",$M27=1),$M27&gt;(ROW(PLE.lastrow)-ROW(PLE.firstrow))),0,IF(OFFSET(PLE!$G$14,$M27,HC$13)="",10^12,OFFSET(PLE!$G$14,$M27,HC$13))))</f>
        <v>1000000000000</v>
      </c>
      <c r="HD27" s="212">
        <f ca="1">IF($D27&lt;&gt;"Serviço",0,IF(OR(AND(AUTOEVENTO="Manual",$M27=1),$M27&gt;(ROW(PLE.lastrow)-ROW(PLE.firstrow))),0,IF(OFFSET(PLE!$G$14,$M27,HD$13)="",10^12,OFFSET(PLE!$G$14,$M27,HD$13))))</f>
        <v>1000000000000</v>
      </c>
      <c r="HE27" s="212">
        <f ca="1">IF($D27&lt;&gt;"Serviço",0,IF(OR(AND(AUTOEVENTO="Manual",$M27=1),$M27&gt;(ROW(PLE.lastrow)-ROW(PLE.firstrow))),0,IF(OFFSET(PLE!$G$14,$M27,HE$13)="",10^12,OFFSET(PLE!$G$14,$M27,HE$13))))</f>
        <v>1000000000000</v>
      </c>
      <c r="HF27" s="212">
        <f ca="1">IF($D27&lt;&gt;"Serviço",0,IF(OR(AND(AUTOEVENTO="Manual",$M27=1),$M27&gt;(ROW(PLE.lastrow)-ROW(PLE.firstrow))),0,IF(OFFSET(PLE!$G$14,$M27,HF$13)="",10^12,OFFSET(PLE!$G$14,$M27,HF$13))))</f>
        <v>1000000000000</v>
      </c>
      <c r="HG27" s="212">
        <f ca="1">IF($D27&lt;&gt;"Serviço",0,IF(OR(AND(AUTOEVENTO="Manual",$M27=1),$M27&gt;(ROW(PLE.lastrow)-ROW(PLE.firstrow))),0,IF(OFFSET(PLE!$G$14,$M27,HG$13)="",10^12,OFFSET(PLE!$G$14,$M27,HG$13))))</f>
        <v>1000000000000</v>
      </c>
      <c r="HH27" s="212">
        <f ca="1">IF($D27&lt;&gt;"Serviço",0,IF(OR(AND(AUTOEVENTO="Manual",$M27=1),$M27&gt;(ROW(PLE.lastrow)-ROW(PLE.firstrow))),0,IF(OFFSET(PLE!$G$14,$M27,HH$13)="",10^12,OFFSET(PLE!$G$14,$M27,HH$13))))</f>
        <v>1000000000000</v>
      </c>
      <c r="HI27" s="212">
        <f ca="1">IF($D27&lt;&gt;"Serviço",0,IF(OR(AND(AUTOEVENTO="Manual",$M27=1),$M27&gt;(ROW(PLE.lastrow)-ROW(PLE.firstrow))),0,IF(OFFSET(PLE!$G$14,$M27,HI$13)="",10^12,OFFSET(PLE!$G$14,$M27,HI$13))))</f>
        <v>1000000000000</v>
      </c>
      <c r="HJ27" s="212">
        <f ca="1">IF($D27&lt;&gt;"Serviço",0,IF(OR(AND(AUTOEVENTO="Manual",$M27=1),$M27&gt;(ROW(PLE.lastrow)-ROW(PLE.firstrow))),0,IF(OFFSET(PLE!$G$14,$M27,HJ$13)="",10^12,OFFSET(PLE!$G$14,$M27,HJ$13))))</f>
        <v>1000000000000</v>
      </c>
      <c r="HK27" s="212">
        <f ca="1">IF($D27&lt;&gt;"Serviço",0,IF(OR(AND(AUTOEVENTO="Manual",$M27=1),$M27&gt;(ROW(PLE.lastrow)-ROW(PLE.firstrow))),0,IF(OFFSET(PLE!$G$14,$M27,HK$13)="",10^12,OFFSET(PLE!$G$14,$M27,HK$13))))</f>
        <v>1000000000000</v>
      </c>
    </row>
    <row r="28" spans="1:219" ht="12.75" x14ac:dyDescent="0.2">
      <c r="A28" s="9" t="str">
        <f t="shared" ca="1" si="10"/>
        <v>13.</v>
      </c>
      <c r="B28" s="9">
        <f ca="1">OFFSET(ORÇAMENTO!C$15,ROW(B28)-ROW(B$15),0)</f>
        <v>2</v>
      </c>
      <c r="C28" s="9" t="str">
        <f ca="1">OFFSET(ORÇAMENTO!L$15,ROW(C28)-ROW(C$15),0)</f>
        <v>F</v>
      </c>
      <c r="D28" s="141" t="str">
        <f ca="1">OFFSET(ORÇAMENTO!N$15,ROW(D28)-ROW(D$15),0)</f>
        <v>Nível 2</v>
      </c>
      <c r="E28" s="201" t="str">
        <f ca="1">OFFSET(ORÇAMENTO!O$15,ROW(E28)-ROW(E$15),0)</f>
        <v>1.5.</v>
      </c>
      <c r="F28" s="202" t="str">
        <f ca="1">OFFSET(ORÇAMENTO!R$15,ROW(F28)-ROW(F$15),0)</f>
        <v>SINALIZAÇÃO VIÁRIA</v>
      </c>
      <c r="G28" s="203" t="str">
        <f ca="1">IF($D28&lt;&gt;"Serviço","",OFFSET(ORÇAMENTO!S$15,ROW(G28)-ROW(G$15),0))</f>
        <v/>
      </c>
      <c r="H28" s="147">
        <f ca="1">IF($D28&lt;&gt;"Serviço",0,IF(ACOMPANHAMENTO="BM",ROUND(OFFSET(ORÇAMENTO!AJ$15,ROW(H28)-ROW(H$15),0),15-13*ORÇAMENTO!$AF$7),SUMPRODUCT(($Q$12:$BO$12&lt;&gt;"")*ROUND($Q28:$BO28,15-13*ORÇAMENTO!$AF$7))))</f>
        <v>0</v>
      </c>
      <c r="I28" s="646"/>
      <c r="K28" s="204"/>
      <c r="L28" s="205" t="s">
        <v>257</v>
      </c>
      <c r="M28" s="206" t="str">
        <f ca="1">IF($D28&lt;&gt;"Serviço","",IF(AUTOEVENTO="manual",$A28,IF(ISERROR(MATCH($A28,$A$15:OFFSET($A28,-1,0),0)),MAX($M$15:OFFSET(M28,-1,0))+1,INDEX($M$15:OFFSET(M28,-1,0),MATCH($A28,$A$15:OFFSET($A28,-1,0),0)))))</f>
        <v/>
      </c>
      <c r="N28" s="207" t="str">
        <f ca="1">IF($D28&lt;&gt;"Serviço","",IF(AUTOEVENTO="Manual",IF($A28=0,"&lt;-- defina o número do agrupador",OFFSET(EVENTOS!$D$14,$A28,0)),OFFSET($F$15,$A28,0)))</f>
        <v/>
      </c>
      <c r="O28" s="208"/>
      <c r="Q28" s="208"/>
      <c r="R28" s="209"/>
      <c r="S28" s="209"/>
      <c r="T28" s="209"/>
      <c r="U28" s="209"/>
      <c r="V28" s="209"/>
      <c r="W28" s="209"/>
      <c r="X28" s="209"/>
      <c r="Y28" s="209"/>
      <c r="Z28" s="210"/>
      <c r="AA28" s="209"/>
      <c r="AB28" s="209"/>
      <c r="AC28" s="209"/>
      <c r="AD28" s="209"/>
      <c r="AE28" s="209"/>
      <c r="AF28" s="209"/>
      <c r="AG28" s="209"/>
      <c r="AH28" s="210"/>
      <c r="AI28" s="209"/>
      <c r="AJ28" s="209"/>
      <c r="AK28" s="209"/>
      <c r="AL28" s="209"/>
      <c r="AM28" s="209"/>
      <c r="AN28" s="209"/>
      <c r="AO28" s="209"/>
      <c r="AP28" s="210"/>
      <c r="AQ28" s="209"/>
      <c r="AR28" s="209"/>
      <c r="AS28" s="209"/>
      <c r="AT28" s="209"/>
      <c r="AU28" s="209"/>
      <c r="AV28" s="209"/>
      <c r="AW28" s="209"/>
      <c r="AX28" s="210"/>
      <c r="AY28" s="209"/>
      <c r="AZ28" s="209"/>
      <c r="BA28" s="209"/>
      <c r="BB28" s="209"/>
      <c r="BC28" s="209"/>
      <c r="BD28" s="209"/>
      <c r="BE28" s="209"/>
      <c r="BF28" s="210"/>
      <c r="BG28" s="209"/>
      <c r="BH28" s="209"/>
      <c r="BI28" s="209"/>
      <c r="BJ28" s="209"/>
      <c r="BK28" s="209"/>
      <c r="BL28" s="209"/>
      <c r="BM28" s="209"/>
      <c r="BN28" s="210"/>
      <c r="BP28" s="627">
        <f ca="1">IF(AND($D28="Serviço",BP$12&lt;&gt;0,$H28&gt;0,OR(AUTOEVENTO&lt;&gt;"manual",$M28&lt;&gt;1)),ROUND(OFFSET($P28,0,BP$13),15-13*ORÇAMENTO!$AF$7)/$H28*OFFSET(ORÇAMENTO!$X$15,ROW(BP28)-ROW(BP$15),0),0)</f>
        <v>0</v>
      </c>
      <c r="BQ28" s="628">
        <f ca="1">IF(AND($D28="Serviço",BQ$12&lt;&gt;0,$H28&gt;0,OR(AUTOEVENTO&lt;&gt;"manual",$M28&lt;&gt;1)),ROUND(OFFSET($P28,0,BQ$13),15-13*ORÇAMENTO!$AF$7)/$H28*OFFSET(ORÇAMENTO!$X$15,ROW(BQ28)-ROW(BQ$15),0),0)</f>
        <v>0</v>
      </c>
      <c r="BR28" s="628">
        <f ca="1">IF(AND($D28="Serviço",BR$12&lt;&gt;0,$H28&gt;0,OR(AUTOEVENTO&lt;&gt;"manual",$M28&lt;&gt;1)),ROUND(OFFSET($P28,0,BR$13),15-13*ORÇAMENTO!$AF$7)/$H28*OFFSET(ORÇAMENTO!$X$15,ROW(BR28)-ROW(BR$15),0),0)</f>
        <v>0</v>
      </c>
      <c r="BS28" s="628">
        <f ca="1">IF(AND($D28="Serviço",BS$12&lt;&gt;0,$H28&gt;0,OR(AUTOEVENTO&lt;&gt;"manual",$M28&lt;&gt;1)),ROUND(OFFSET($P28,0,BS$13),15-13*ORÇAMENTO!$AF$7)/$H28*OFFSET(ORÇAMENTO!$X$15,ROW(BS28)-ROW(BS$15),0),0)</f>
        <v>0</v>
      </c>
      <c r="BT28" s="628">
        <f ca="1">IF(AND($D28="Serviço",BT$12&lt;&gt;0,$H28&gt;0,OR(AUTOEVENTO&lt;&gt;"manual",$M28&lt;&gt;1)),ROUND(OFFSET($P28,0,BT$13),15-13*ORÇAMENTO!$AF$7)/$H28*OFFSET(ORÇAMENTO!$X$15,ROW(BT28)-ROW(BT$15),0),0)</f>
        <v>0</v>
      </c>
      <c r="BU28" s="628">
        <f ca="1">IF(AND($D28="Serviço",BU$12&lt;&gt;0,$H28&gt;0,OR(AUTOEVENTO&lt;&gt;"manual",$M28&lt;&gt;1)),ROUND(OFFSET($P28,0,BU$13),15-13*ORÇAMENTO!$AF$7)/$H28*OFFSET(ORÇAMENTO!$X$15,ROW(BU28)-ROW(BU$15),0),0)</f>
        <v>0</v>
      </c>
      <c r="BV28" s="628">
        <f ca="1">IF(AND($D28="Serviço",BV$12&lt;&gt;0,$H28&gt;0,OR(AUTOEVENTO&lt;&gt;"manual",$M28&lt;&gt;1)),ROUND(OFFSET($P28,0,BV$13),15-13*ORÇAMENTO!$AF$7)/$H28*OFFSET(ORÇAMENTO!$X$15,ROW(BV28)-ROW(BV$15),0),0)</f>
        <v>0</v>
      </c>
      <c r="BW28" s="628">
        <f ca="1">IF(AND($D28="Serviço",BW$12&lt;&gt;0,$H28&gt;0,OR(AUTOEVENTO&lt;&gt;"manual",$M28&lt;&gt;1)),ROUND(OFFSET($P28,0,BW$13),15-13*ORÇAMENTO!$AF$7)/$H28*OFFSET(ORÇAMENTO!$X$15,ROW(BW28)-ROW(BW$15),0),0)</f>
        <v>0</v>
      </c>
      <c r="BX28" s="628">
        <f ca="1">IF(AND($D28="Serviço",BX$12&lt;&gt;0,$H28&gt;0,OR(AUTOEVENTO&lt;&gt;"manual",$M28&lt;&gt;1)),ROUND(OFFSET($P28,0,BX$13),15-13*ORÇAMENTO!$AF$7)/$H28*OFFSET(ORÇAMENTO!$X$15,ROW(BX28)-ROW(BX$15),0),0)</f>
        <v>0</v>
      </c>
      <c r="BY28" s="629">
        <f ca="1">IF(AND($D28="Serviço",BY$12&lt;&gt;0,$H28&gt;0,OR(AUTOEVENTO&lt;&gt;"manual",$M28&lt;&gt;1)),ROUND(OFFSET($P28,0,BY$13),15-13*ORÇAMENTO!$AF$7)/$H28*OFFSET(ORÇAMENTO!$X$15,ROW(BY28)-ROW(BY$15),0),0)</f>
        <v>0</v>
      </c>
      <c r="BZ28" s="628">
        <f ca="1">IF(AND($D28="Serviço",BZ$12&lt;&gt;0,$H28&gt;0,OR(AUTOEVENTO&lt;&gt;"manual",$M28&lt;&gt;1)),ROUND(OFFSET($P28,0,BZ$13),15-13*ORÇAMENTO!$AF$7)/$H28*OFFSET(ORÇAMENTO!$X$15,ROW(BZ28)-ROW(BZ$15),0),0)</f>
        <v>0</v>
      </c>
      <c r="CA28" s="628">
        <f ca="1">IF(AND($D28="Serviço",CA$12&lt;&gt;0,$H28&gt;0,OR(AUTOEVENTO&lt;&gt;"manual",$M28&lt;&gt;1)),ROUND(OFFSET($P28,0,CA$13),15-13*ORÇAMENTO!$AF$7)/$H28*OFFSET(ORÇAMENTO!$X$15,ROW(CA28)-ROW(CA$15),0),0)</f>
        <v>0</v>
      </c>
      <c r="CB28" s="628">
        <f ca="1">IF(AND($D28="Serviço",CB$12&lt;&gt;0,$H28&gt;0,OR(AUTOEVENTO&lt;&gt;"manual",$M28&lt;&gt;1)),ROUND(OFFSET($P28,0,CB$13),15-13*ORÇAMENTO!$AF$7)/$H28*OFFSET(ORÇAMENTO!$X$15,ROW(CB28)-ROW(CB$15),0),0)</f>
        <v>0</v>
      </c>
      <c r="CC28" s="628">
        <f ca="1">IF(AND($D28="Serviço",CC$12&lt;&gt;0,$H28&gt;0,OR(AUTOEVENTO&lt;&gt;"manual",$M28&lt;&gt;1)),ROUND(OFFSET($P28,0,CC$13),15-13*ORÇAMENTO!$AF$7)/$H28*OFFSET(ORÇAMENTO!$X$15,ROW(CC28)-ROW(CC$15),0),0)</f>
        <v>0</v>
      </c>
      <c r="CD28" s="628">
        <f ca="1">IF(AND($D28="Serviço",CD$12&lt;&gt;0,$H28&gt;0,OR(AUTOEVENTO&lt;&gt;"manual",$M28&lt;&gt;1)),ROUND(OFFSET($P28,0,CD$13),15-13*ORÇAMENTO!$AF$7)/$H28*OFFSET(ORÇAMENTO!$X$15,ROW(CD28)-ROW(CD$15),0),0)</f>
        <v>0</v>
      </c>
      <c r="CE28" s="628">
        <f ca="1">IF(AND($D28="Serviço",CE$12&lt;&gt;0,$H28&gt;0,OR(AUTOEVENTO&lt;&gt;"manual",$M28&lt;&gt;1)),ROUND(OFFSET($P28,0,CE$13),15-13*ORÇAMENTO!$AF$7)/$H28*OFFSET(ORÇAMENTO!$X$15,ROW(CE28)-ROW(CE$15),0),0)</f>
        <v>0</v>
      </c>
      <c r="CF28" s="628">
        <f ca="1">IF(AND($D28="Serviço",CF$12&lt;&gt;0,$H28&gt;0,OR(AUTOEVENTO&lt;&gt;"manual",$M28&lt;&gt;1)),ROUND(OFFSET($P28,0,CF$13),15-13*ORÇAMENTO!$AF$7)/$H28*OFFSET(ORÇAMENTO!$X$15,ROW(CF28)-ROW(CF$15),0),0)</f>
        <v>0</v>
      </c>
      <c r="CG28" s="629">
        <f ca="1">IF(AND($D28="Serviço",CG$12&lt;&gt;0,$H28&gt;0,OR(AUTOEVENTO&lt;&gt;"manual",$M28&lt;&gt;1)),ROUND(OFFSET($P28,0,CG$13),15-13*ORÇAMENTO!$AF$7)/$H28*OFFSET(ORÇAMENTO!$X$15,ROW(CG28)-ROW(CG$15),0),0)</f>
        <v>0</v>
      </c>
      <c r="CH28" s="628">
        <f ca="1">IF(AND($D28="Serviço",CH$12&lt;&gt;0,$H28&gt;0,OR(AUTOEVENTO&lt;&gt;"manual",$M28&lt;&gt;1)),ROUND(OFFSET($P28,0,CH$13),15-13*ORÇAMENTO!$AF$7)/$H28*OFFSET(ORÇAMENTO!$X$15,ROW(CH28)-ROW(CH$15),0),0)</f>
        <v>0</v>
      </c>
      <c r="CI28" s="628">
        <f ca="1">IF(AND($D28="Serviço",CI$12&lt;&gt;0,$H28&gt;0,OR(AUTOEVENTO&lt;&gt;"manual",$M28&lt;&gt;1)),ROUND(OFFSET($P28,0,CI$13),15-13*ORÇAMENTO!$AF$7)/$H28*OFFSET(ORÇAMENTO!$X$15,ROW(CI28)-ROW(CI$15),0),0)</f>
        <v>0</v>
      </c>
      <c r="CJ28" s="628">
        <f ca="1">IF(AND($D28="Serviço",CJ$12&lt;&gt;0,$H28&gt;0,OR(AUTOEVENTO&lt;&gt;"manual",$M28&lt;&gt;1)),ROUND(OFFSET($P28,0,CJ$13),15-13*ORÇAMENTO!$AF$7)/$H28*OFFSET(ORÇAMENTO!$X$15,ROW(CJ28)-ROW(CJ$15),0),0)</f>
        <v>0</v>
      </c>
      <c r="CK28" s="628">
        <f ca="1">IF(AND($D28="Serviço",CK$12&lt;&gt;0,$H28&gt;0,OR(AUTOEVENTO&lt;&gt;"manual",$M28&lt;&gt;1)),ROUND(OFFSET($P28,0,CK$13),15-13*ORÇAMENTO!$AF$7)/$H28*OFFSET(ORÇAMENTO!$X$15,ROW(CK28)-ROW(CK$15),0),0)</f>
        <v>0</v>
      </c>
      <c r="CL28" s="628">
        <f ca="1">IF(AND($D28="Serviço",CL$12&lt;&gt;0,$H28&gt;0,OR(AUTOEVENTO&lt;&gt;"manual",$M28&lt;&gt;1)),ROUND(OFFSET($P28,0,CL$13),15-13*ORÇAMENTO!$AF$7)/$H28*OFFSET(ORÇAMENTO!$X$15,ROW(CL28)-ROW(CL$15),0),0)</f>
        <v>0</v>
      </c>
      <c r="CM28" s="628">
        <f ca="1">IF(AND($D28="Serviço",CM$12&lt;&gt;0,$H28&gt;0,OR(AUTOEVENTO&lt;&gt;"manual",$M28&lt;&gt;1)),ROUND(OFFSET($P28,0,CM$13),15-13*ORÇAMENTO!$AF$7)/$H28*OFFSET(ORÇAMENTO!$X$15,ROW(CM28)-ROW(CM$15),0),0)</f>
        <v>0</v>
      </c>
      <c r="CN28" s="628">
        <f ca="1">IF(AND($D28="Serviço",CN$12&lt;&gt;0,$H28&gt;0,OR(AUTOEVENTO&lt;&gt;"manual",$M28&lt;&gt;1)),ROUND(OFFSET($P28,0,CN$13),15-13*ORÇAMENTO!$AF$7)/$H28*OFFSET(ORÇAMENTO!$X$15,ROW(CN28)-ROW(CN$15),0),0)</f>
        <v>0</v>
      </c>
      <c r="CO28" s="629">
        <f ca="1">IF(AND($D28="Serviço",CO$12&lt;&gt;0,$H28&gt;0,OR(AUTOEVENTO&lt;&gt;"manual",$M28&lt;&gt;1)),ROUND(OFFSET($P28,0,CO$13),15-13*ORÇAMENTO!$AF$7)/$H28*OFFSET(ORÇAMENTO!$X$15,ROW(CO28)-ROW(CO$15),0),0)</f>
        <v>0</v>
      </c>
      <c r="CP28" s="628">
        <f ca="1">IF(AND($D28="Serviço",CP$12&lt;&gt;0,$H28&gt;0,OR(AUTOEVENTO&lt;&gt;"manual",$M28&lt;&gt;1)),ROUND(OFFSET($P28,0,CP$13),15-13*ORÇAMENTO!$AF$7)/$H28*OFFSET(ORÇAMENTO!$X$15,ROW(CP28)-ROW(CP$15),0),0)</f>
        <v>0</v>
      </c>
      <c r="CQ28" s="628">
        <f ca="1">IF(AND($D28="Serviço",CQ$12&lt;&gt;0,$H28&gt;0,OR(AUTOEVENTO&lt;&gt;"manual",$M28&lt;&gt;1)),ROUND(OFFSET($P28,0,CQ$13),15-13*ORÇAMENTO!$AF$7)/$H28*OFFSET(ORÇAMENTO!$X$15,ROW(CQ28)-ROW(CQ$15),0),0)</f>
        <v>0</v>
      </c>
      <c r="CR28" s="628">
        <f ca="1">IF(AND($D28="Serviço",CR$12&lt;&gt;0,$H28&gt;0,OR(AUTOEVENTO&lt;&gt;"manual",$M28&lt;&gt;1)),ROUND(OFFSET($P28,0,CR$13),15-13*ORÇAMENTO!$AF$7)/$H28*OFFSET(ORÇAMENTO!$X$15,ROW(CR28)-ROW(CR$15),0),0)</f>
        <v>0</v>
      </c>
      <c r="CS28" s="628">
        <f ca="1">IF(AND($D28="Serviço",CS$12&lt;&gt;0,$H28&gt;0,OR(AUTOEVENTO&lt;&gt;"manual",$M28&lt;&gt;1)),ROUND(OFFSET($P28,0,CS$13),15-13*ORÇAMENTO!$AF$7)/$H28*OFFSET(ORÇAMENTO!$X$15,ROW(CS28)-ROW(CS$15),0),0)</f>
        <v>0</v>
      </c>
      <c r="CT28" s="628">
        <f ca="1">IF(AND($D28="Serviço",CT$12&lt;&gt;0,$H28&gt;0,OR(AUTOEVENTO&lt;&gt;"manual",$M28&lt;&gt;1)),ROUND(OFFSET($P28,0,CT$13),15-13*ORÇAMENTO!$AF$7)/$H28*OFFSET(ORÇAMENTO!$X$15,ROW(CT28)-ROW(CT$15),0),0)</f>
        <v>0</v>
      </c>
      <c r="CU28" s="628">
        <f ca="1">IF(AND($D28="Serviço",CU$12&lt;&gt;0,$H28&gt;0,OR(AUTOEVENTO&lt;&gt;"manual",$M28&lt;&gt;1)),ROUND(OFFSET($P28,0,CU$13),15-13*ORÇAMENTO!$AF$7)/$H28*OFFSET(ORÇAMENTO!$X$15,ROW(CU28)-ROW(CU$15),0),0)</f>
        <v>0</v>
      </c>
      <c r="CV28" s="628">
        <f ca="1">IF(AND($D28="Serviço",CV$12&lt;&gt;0,$H28&gt;0,OR(AUTOEVENTO&lt;&gt;"manual",$M28&lt;&gt;1)),ROUND(OFFSET($P28,0,CV$13),15-13*ORÇAMENTO!$AF$7)/$H28*OFFSET(ORÇAMENTO!$X$15,ROW(CV28)-ROW(CV$15),0),0)</f>
        <v>0</v>
      </c>
      <c r="CW28" s="629">
        <f ca="1">IF(AND($D28="Serviço",CW$12&lt;&gt;0,$H28&gt;0,OR(AUTOEVENTO&lt;&gt;"manual",$M28&lt;&gt;1)),ROUND(OFFSET($P28,0,CW$13),15-13*ORÇAMENTO!$AF$7)/$H28*OFFSET(ORÇAMENTO!$X$15,ROW(CW28)-ROW(CW$15),0),0)</f>
        <v>0</v>
      </c>
      <c r="CX28" s="628">
        <f ca="1">IF(AND($D28="Serviço",CX$12&lt;&gt;0,$H28&gt;0,OR(AUTOEVENTO&lt;&gt;"manual",$M28&lt;&gt;1)),ROUND(OFFSET($P28,0,CX$13),15-13*ORÇAMENTO!$AF$7)/$H28*OFFSET(ORÇAMENTO!$X$15,ROW(CX28)-ROW(CX$15),0),0)</f>
        <v>0</v>
      </c>
      <c r="CY28" s="628">
        <f ca="1">IF(AND($D28="Serviço",CY$12&lt;&gt;0,$H28&gt;0,OR(AUTOEVENTO&lt;&gt;"manual",$M28&lt;&gt;1)),ROUND(OFFSET($P28,0,CY$13),15-13*ORÇAMENTO!$AF$7)/$H28*OFFSET(ORÇAMENTO!$X$15,ROW(CY28)-ROW(CY$15),0),0)</f>
        <v>0</v>
      </c>
      <c r="CZ28" s="628">
        <f ca="1">IF(AND($D28="Serviço",CZ$12&lt;&gt;0,$H28&gt;0,OR(AUTOEVENTO&lt;&gt;"manual",$M28&lt;&gt;1)),ROUND(OFFSET($P28,0,CZ$13),15-13*ORÇAMENTO!$AF$7)/$H28*OFFSET(ORÇAMENTO!$X$15,ROW(CZ28)-ROW(CZ$15),0),0)</f>
        <v>0</v>
      </c>
      <c r="DA28" s="628">
        <f ca="1">IF(AND($D28="Serviço",DA$12&lt;&gt;0,$H28&gt;0,OR(AUTOEVENTO&lt;&gt;"manual",$M28&lt;&gt;1)),ROUND(OFFSET($P28,0,DA$13),15-13*ORÇAMENTO!$AF$7)/$H28*OFFSET(ORÇAMENTO!$X$15,ROW(DA28)-ROW(DA$15),0),0)</f>
        <v>0</v>
      </c>
      <c r="DB28" s="628">
        <f ca="1">IF(AND($D28="Serviço",DB$12&lt;&gt;0,$H28&gt;0,OR(AUTOEVENTO&lt;&gt;"manual",$M28&lt;&gt;1)),ROUND(OFFSET($P28,0,DB$13),15-13*ORÇAMENTO!$AF$7)/$H28*OFFSET(ORÇAMENTO!$X$15,ROW(DB28)-ROW(DB$15),0),0)</f>
        <v>0</v>
      </c>
      <c r="DC28" s="628">
        <f ca="1">IF(AND($D28="Serviço",DC$12&lt;&gt;0,$H28&gt;0,OR(AUTOEVENTO&lt;&gt;"manual",$M28&lt;&gt;1)),ROUND(OFFSET($P28,0,DC$13),15-13*ORÇAMENTO!$AF$7)/$H28*OFFSET(ORÇAMENTO!$X$15,ROW(DC28)-ROW(DC$15),0),0)</f>
        <v>0</v>
      </c>
      <c r="DD28" s="628">
        <f ca="1">IF(AND($D28="Serviço",DD$12&lt;&gt;0,$H28&gt;0,OR(AUTOEVENTO&lt;&gt;"manual",$M28&lt;&gt;1)),ROUND(OFFSET($P28,0,DD$13),15-13*ORÇAMENTO!$AF$7)/$H28*OFFSET(ORÇAMENTO!$X$15,ROW(DD28)-ROW(DD$15),0),0)</f>
        <v>0</v>
      </c>
      <c r="DE28" s="629">
        <f ca="1">IF(AND($D28="Serviço",DE$12&lt;&gt;0,$H28&gt;0,OR(AUTOEVENTO&lt;&gt;"manual",$M28&lt;&gt;1)),ROUND(OFFSET($P28,0,DE$13),15-13*ORÇAMENTO!$AF$7)/$H28*OFFSET(ORÇAMENTO!$X$15,ROW(DE28)-ROW(DE$15),0),0)</f>
        <v>0</v>
      </c>
      <c r="DF28" s="628">
        <f ca="1">IF(AND($D28="Serviço",DF$12&lt;&gt;0,$H28&gt;0,OR(AUTOEVENTO&lt;&gt;"manual",$M28&lt;&gt;1)),ROUND(OFFSET($P28,0,DF$13),15-13*ORÇAMENTO!$AF$7)/$H28*OFFSET(ORÇAMENTO!$X$15,ROW(DF28)-ROW(DF$15),0),0)</f>
        <v>0</v>
      </c>
      <c r="DG28" s="628">
        <f ca="1">IF(AND($D28="Serviço",DG$12&lt;&gt;0,$H28&gt;0,OR(AUTOEVENTO&lt;&gt;"manual",$M28&lt;&gt;1)),ROUND(OFFSET($P28,0,DG$13),15-13*ORÇAMENTO!$AF$7)/$H28*OFFSET(ORÇAMENTO!$X$15,ROW(DG28)-ROW(DG$15),0),0)</f>
        <v>0</v>
      </c>
      <c r="DH28" s="628">
        <f ca="1">IF(AND($D28="Serviço",DH$12&lt;&gt;0,$H28&gt;0,OR(AUTOEVENTO&lt;&gt;"manual",$M28&lt;&gt;1)),ROUND(OFFSET($P28,0,DH$13),15-13*ORÇAMENTO!$AF$7)/$H28*OFFSET(ORÇAMENTO!$X$15,ROW(DH28)-ROW(DH$15),0),0)</f>
        <v>0</v>
      </c>
      <c r="DI28" s="628">
        <f ca="1">IF(AND($D28="Serviço",DI$12&lt;&gt;0,$H28&gt;0,OR(AUTOEVENTO&lt;&gt;"manual",$M28&lt;&gt;1)),ROUND(OFFSET($P28,0,DI$13),15-13*ORÇAMENTO!$AF$7)/$H28*OFFSET(ORÇAMENTO!$X$15,ROW(DI28)-ROW(DI$15),0),0)</f>
        <v>0</v>
      </c>
      <c r="DJ28" s="628">
        <f ca="1">IF(AND($D28="Serviço",DJ$12&lt;&gt;0,$H28&gt;0,OR(AUTOEVENTO&lt;&gt;"manual",$M28&lt;&gt;1)),ROUND(OFFSET($P28,0,DJ$13),15-13*ORÇAMENTO!$AF$7)/$H28*OFFSET(ORÇAMENTO!$X$15,ROW(DJ28)-ROW(DJ$15),0),0)</f>
        <v>0</v>
      </c>
      <c r="DK28" s="628">
        <f ca="1">IF(AND($D28="Serviço",DK$12&lt;&gt;0,$H28&gt;0,OR(AUTOEVENTO&lt;&gt;"manual",$M28&lt;&gt;1)),ROUND(OFFSET($P28,0,DK$13),15-13*ORÇAMENTO!$AF$7)/$H28*OFFSET(ORÇAMENTO!$X$15,ROW(DK28)-ROW(DK$15),0),0)</f>
        <v>0</v>
      </c>
      <c r="DL28" s="628">
        <f ca="1">IF(AND($D28="Serviço",DL$12&lt;&gt;0,$H28&gt;0,OR(AUTOEVENTO&lt;&gt;"manual",$M28&lt;&gt;1)),ROUND(OFFSET($P28,0,DL$13),15-13*ORÇAMENTO!$AF$7)/$H28*OFFSET(ORÇAMENTO!$X$15,ROW(DL28)-ROW(DL$15),0),0)</f>
        <v>0</v>
      </c>
      <c r="DM28" s="629">
        <f ca="1">IF(AND($D28="Serviço",DM$12&lt;&gt;0,$H28&gt;0,OR(AUTOEVENTO&lt;&gt;"manual",$M28&lt;&gt;1)),ROUND(OFFSET($P28,0,DM$13),15-13*ORÇAMENTO!$AF$7)/$H28*OFFSET(ORÇAMENTO!$X$15,ROW(DM28)-ROW(DM$15),0),0)</f>
        <v>0</v>
      </c>
      <c r="DO28" s="211">
        <f ca="1">IF($D28&lt;&gt;"Serviço",0,IF(AND(AUTOEVENTO="Manual",$M28=1),0,IF(OFFSET(CRONOPLE!$F$14,$M28,DO$13)="",10^12,OFFSET(CRONOPLE!$F$14,$M28,DO$13))))</f>
        <v>0</v>
      </c>
      <c r="DP28" s="211">
        <f ca="1">IF($D28&lt;&gt;"Serviço",0,IF(AND(AUTOEVENTO="Manual",$M28=1),0,IF(OFFSET(CRONOPLE!$F$14,$M28,DP$13)="",10^12,OFFSET(CRONOPLE!$F$14,$M28,DP$13))))</f>
        <v>0</v>
      </c>
      <c r="DQ28" s="211">
        <f ca="1">IF($D28&lt;&gt;"Serviço",0,IF(AND(AUTOEVENTO="Manual",$M28=1),0,IF(OFFSET(CRONOPLE!$F$14,$M28,DQ$13)="",10^12,OFFSET(CRONOPLE!$F$14,$M28,DQ$13))))</f>
        <v>0</v>
      </c>
      <c r="DR28" s="211">
        <f ca="1">IF($D28&lt;&gt;"Serviço",0,IF(AND(AUTOEVENTO="Manual",$M28=1),0,IF(OFFSET(CRONOPLE!$F$14,$M28,DR$13)="",10^12,OFFSET(CRONOPLE!$F$14,$M28,DR$13))))</f>
        <v>0</v>
      </c>
      <c r="DS28" s="211">
        <f ca="1">IF($D28&lt;&gt;"Serviço",0,IF(AND(AUTOEVENTO="Manual",$M28=1),0,IF(OFFSET(CRONOPLE!$F$14,$M28,DS$13)="",10^12,OFFSET(CRONOPLE!$F$14,$M28,DS$13))))</f>
        <v>0</v>
      </c>
      <c r="DT28" s="211">
        <f ca="1">IF($D28&lt;&gt;"Serviço",0,IF(AND(AUTOEVENTO="Manual",$M28=1),0,IF(OFFSET(CRONOPLE!$F$14,$M28,DT$13)="",10^12,OFFSET(CRONOPLE!$F$14,$M28,DT$13))))</f>
        <v>0</v>
      </c>
      <c r="DU28" s="211">
        <f ca="1">IF($D28&lt;&gt;"Serviço",0,IF(AND(AUTOEVENTO="Manual",$M28=1),0,IF(OFFSET(CRONOPLE!$F$14,$M28,DU$13)="",10^12,OFFSET(CRONOPLE!$F$14,$M28,DU$13))))</f>
        <v>0</v>
      </c>
      <c r="DV28" s="211">
        <f ca="1">IF($D28&lt;&gt;"Serviço",0,IF(AND(AUTOEVENTO="Manual",$M28=1),0,IF(OFFSET(CRONOPLE!$F$14,$M28,DV$13)="",10^12,OFFSET(CRONOPLE!$F$14,$M28,DV$13))))</f>
        <v>0</v>
      </c>
      <c r="DW28" s="211">
        <f ca="1">IF($D28&lt;&gt;"Serviço",0,IF(AND(AUTOEVENTO="Manual",$M28=1),0,IF(OFFSET(CRONOPLE!$F$14,$M28,DW$13)="",10^12,OFFSET(CRONOPLE!$F$14,$M28,DW$13))))</f>
        <v>0</v>
      </c>
      <c r="DX28" s="211">
        <f ca="1">IF($D28&lt;&gt;"Serviço",0,IF(AND(AUTOEVENTO="Manual",$M28=1),0,IF(OFFSET(CRONOPLE!$F$14,$M28,DX$13)="",10^12,OFFSET(CRONOPLE!$F$14,$M28,DX$13))))</f>
        <v>0</v>
      </c>
      <c r="DY28" s="211">
        <f ca="1">IF($D28&lt;&gt;"Serviço",0,IF(AND(AUTOEVENTO="Manual",$M28=1),0,IF(OFFSET(CRONOPLE!$F$14,$M28,DY$13)="",10^12,OFFSET(CRONOPLE!$F$14,$M28,DY$13))))</f>
        <v>0</v>
      </c>
      <c r="DZ28" s="211">
        <f ca="1">IF($D28&lt;&gt;"Serviço",0,IF(AND(AUTOEVENTO="Manual",$M28=1),0,IF(OFFSET(CRONOPLE!$F$14,$M28,DZ$13)="",10^12,OFFSET(CRONOPLE!$F$14,$M28,DZ$13))))</f>
        <v>0</v>
      </c>
      <c r="EA28" s="211">
        <f ca="1">IF($D28&lt;&gt;"Serviço",0,IF(AND(AUTOEVENTO="Manual",$M28=1),0,IF(OFFSET(CRONOPLE!$F$14,$M28,EA$13)="",10^12,OFFSET(CRONOPLE!$F$14,$M28,EA$13))))</f>
        <v>0</v>
      </c>
      <c r="EB28" s="211">
        <f ca="1">IF($D28&lt;&gt;"Serviço",0,IF(AND(AUTOEVENTO="Manual",$M28=1),0,IF(OFFSET(CRONOPLE!$F$14,$M28,EB$13)="",10^12,OFFSET(CRONOPLE!$F$14,$M28,EB$13))))</f>
        <v>0</v>
      </c>
      <c r="EC28" s="211">
        <f ca="1">IF($D28&lt;&gt;"Serviço",0,IF(AND(AUTOEVENTO="Manual",$M28=1),0,IF(OFFSET(CRONOPLE!$F$14,$M28,EC$13)="",10^12,OFFSET(CRONOPLE!$F$14,$M28,EC$13))))</f>
        <v>0</v>
      </c>
      <c r="ED28" s="211">
        <f ca="1">IF($D28&lt;&gt;"Serviço",0,IF(AND(AUTOEVENTO="Manual",$M28=1),0,IF(OFFSET(CRONOPLE!$F$14,$M28,ED$13)="",10^12,OFFSET(CRONOPLE!$F$14,$M28,ED$13))))</f>
        <v>0</v>
      </c>
      <c r="EE28" s="211">
        <f ca="1">IF($D28&lt;&gt;"Serviço",0,IF(AND(AUTOEVENTO="Manual",$M28=1),0,IF(OFFSET(CRONOPLE!$F$14,$M28,EE$13)="",10^12,OFFSET(CRONOPLE!$F$14,$M28,EE$13))))</f>
        <v>0</v>
      </c>
      <c r="EF28" s="211">
        <f ca="1">IF($D28&lt;&gt;"Serviço",0,IF(AND(AUTOEVENTO="Manual",$M28=1),0,IF(OFFSET(CRONOPLE!$F$14,$M28,EF$13)="",10^12,OFFSET(CRONOPLE!$F$14,$M28,EF$13))))</f>
        <v>0</v>
      </c>
      <c r="EG28" s="211">
        <f ca="1">IF($D28&lt;&gt;"Serviço",0,IF(AND(AUTOEVENTO="Manual",$M28=1),0,IF(OFFSET(CRONOPLE!$F$14,$M28,EG$13)="",10^12,OFFSET(CRONOPLE!$F$14,$M28,EG$13))))</f>
        <v>0</v>
      </c>
      <c r="EH28" s="211">
        <f ca="1">IF($D28&lt;&gt;"Serviço",0,IF(AND(AUTOEVENTO="Manual",$M28=1),0,IF(OFFSET(CRONOPLE!$F$14,$M28,EH$13)="",10^12,OFFSET(CRONOPLE!$F$14,$M28,EH$13))))</f>
        <v>0</v>
      </c>
      <c r="EI28" s="211">
        <f ca="1">IF($D28&lt;&gt;"Serviço",0,IF(AND(AUTOEVENTO="Manual",$M28=1),0,IF(OFFSET(CRONOPLE!$F$14,$M28,EI$13)="",10^12,OFFSET(CRONOPLE!$F$14,$M28,EI$13))))</f>
        <v>0</v>
      </c>
      <c r="EJ28" s="211">
        <f ca="1">IF($D28&lt;&gt;"Serviço",0,IF(AND(AUTOEVENTO="Manual",$M28=1),0,IF(OFFSET(CRONOPLE!$F$14,$M28,EJ$13)="",10^12,OFFSET(CRONOPLE!$F$14,$M28,EJ$13))))</f>
        <v>0</v>
      </c>
      <c r="EK28" s="211">
        <f ca="1">IF($D28&lt;&gt;"Serviço",0,IF(AND(AUTOEVENTO="Manual",$M28=1),0,IF(OFFSET(CRONOPLE!$F$14,$M28,EK$13)="",10^12,OFFSET(CRONOPLE!$F$14,$M28,EK$13))))</f>
        <v>0</v>
      </c>
      <c r="EL28" s="211">
        <f ca="1">IF($D28&lt;&gt;"Serviço",0,IF(AND(AUTOEVENTO="Manual",$M28=1),0,IF(OFFSET(CRONOPLE!$F$14,$M28,EL$13)="",10^12,OFFSET(CRONOPLE!$F$14,$M28,EL$13))))</f>
        <v>0</v>
      </c>
      <c r="EM28" s="211">
        <f ca="1">IF($D28&lt;&gt;"Serviço",0,IF(AND(AUTOEVENTO="Manual",$M28=1),0,IF(OFFSET(CRONOPLE!$F$14,$M28,EM$13)="",10^12,OFFSET(CRONOPLE!$F$14,$M28,EM$13))))</f>
        <v>0</v>
      </c>
      <c r="EN28" s="211">
        <f ca="1">IF($D28&lt;&gt;"Serviço",0,IF(AND(AUTOEVENTO="Manual",$M28=1),0,IF(OFFSET(CRONOPLE!$F$14,$M28,EN$13)="",10^12,OFFSET(CRONOPLE!$F$14,$M28,EN$13))))</f>
        <v>0</v>
      </c>
      <c r="EO28" s="211">
        <f ca="1">IF($D28&lt;&gt;"Serviço",0,IF(AND(AUTOEVENTO="Manual",$M28=1),0,IF(OFFSET(CRONOPLE!$F$14,$M28,EO$13)="",10^12,OFFSET(CRONOPLE!$F$14,$M28,EO$13))))</f>
        <v>0</v>
      </c>
      <c r="EP28" s="211">
        <f ca="1">IF($D28&lt;&gt;"Serviço",0,IF(AND(AUTOEVENTO="Manual",$M28=1),0,IF(OFFSET(CRONOPLE!$F$14,$M28,EP$13)="",10^12,OFFSET(CRONOPLE!$F$14,$M28,EP$13))))</f>
        <v>0</v>
      </c>
      <c r="EQ28" s="211">
        <f ca="1">IF($D28&lt;&gt;"Serviço",0,IF(AND(AUTOEVENTO="Manual",$M28=1),0,IF(OFFSET(CRONOPLE!$F$14,$M28,EQ$13)="",10^12,OFFSET(CRONOPLE!$F$14,$M28,EQ$13))))</f>
        <v>0</v>
      </c>
      <c r="ER28" s="211">
        <f ca="1">IF($D28&lt;&gt;"Serviço",0,IF(AND(AUTOEVENTO="Manual",$M28=1),0,IF(OFFSET(CRONOPLE!$F$14,$M28,ER$13)="",10^12,OFFSET(CRONOPLE!$F$14,$M28,ER$13))))</f>
        <v>0</v>
      </c>
      <c r="ES28" s="211">
        <f ca="1">IF($D28&lt;&gt;"Serviço",0,IF(AND(AUTOEVENTO="Manual",$M28=1),0,IF(OFFSET(CRONOPLE!$F$14,$M28,ES$13)="",10^12,OFFSET(CRONOPLE!$F$14,$M28,ES$13))))</f>
        <v>0</v>
      </c>
      <c r="ET28" s="211">
        <f ca="1">IF($D28&lt;&gt;"Serviço",0,IF(AND(AUTOEVENTO="Manual",$M28=1),0,IF(OFFSET(CRONOPLE!$F$14,$M28,ET$13)="",10^12,OFFSET(CRONOPLE!$F$14,$M28,ET$13))))</f>
        <v>0</v>
      </c>
      <c r="EU28" s="211">
        <f ca="1">IF($D28&lt;&gt;"Serviço",0,IF(AND(AUTOEVENTO="Manual",$M28=1),0,IF(OFFSET(CRONOPLE!$F$14,$M28,EU$13)="",10^12,OFFSET(CRONOPLE!$F$14,$M28,EU$13))))</f>
        <v>0</v>
      </c>
      <c r="EV28" s="211">
        <f ca="1">IF($D28&lt;&gt;"Serviço",0,IF(AND(AUTOEVENTO="Manual",$M28=1),0,IF(OFFSET(CRONOPLE!$F$14,$M28,EV$13)="",10^12,OFFSET(CRONOPLE!$F$14,$M28,EV$13))))</f>
        <v>0</v>
      </c>
      <c r="EW28" s="211">
        <f ca="1">IF($D28&lt;&gt;"Serviço",0,IF(AND(AUTOEVENTO="Manual",$M28=1),0,IF(OFFSET(CRONOPLE!$F$14,$M28,EW$13)="",10^12,OFFSET(CRONOPLE!$F$14,$M28,EW$13))))</f>
        <v>0</v>
      </c>
      <c r="EX28" s="211">
        <f ca="1">IF($D28&lt;&gt;"Serviço",0,IF(AND(AUTOEVENTO="Manual",$M28=1),0,IF(OFFSET(CRONOPLE!$F$14,$M28,EX$13)="",10^12,OFFSET(CRONOPLE!$F$14,$M28,EX$13))))</f>
        <v>0</v>
      </c>
      <c r="EY28" s="211">
        <f ca="1">IF($D28&lt;&gt;"Serviço",0,IF(AND(AUTOEVENTO="Manual",$M28=1),0,IF(OFFSET(CRONOPLE!$F$14,$M28,EY$13)="",10^12,OFFSET(CRONOPLE!$F$14,$M28,EY$13))))</f>
        <v>0</v>
      </c>
      <c r="EZ28" s="211">
        <f ca="1">IF($D28&lt;&gt;"Serviço",0,IF(AND(AUTOEVENTO="Manual",$M28=1),0,IF(OFFSET(CRONOPLE!$F$14,$M28,EZ$13)="",10^12,OFFSET(CRONOPLE!$F$14,$M28,EZ$13))))</f>
        <v>0</v>
      </c>
      <c r="FA28" s="211">
        <f ca="1">IF($D28&lt;&gt;"Serviço",0,IF(AND(AUTOEVENTO="Manual",$M28=1),0,IF(OFFSET(CRONOPLE!$F$14,$M28,FA$13)="",10^12,OFFSET(CRONOPLE!$F$14,$M28,FA$13))))</f>
        <v>0</v>
      </c>
      <c r="FB28" s="211">
        <f ca="1">IF($D28&lt;&gt;"Serviço",0,IF(AND(AUTOEVENTO="Manual",$M28=1),0,IF(OFFSET(CRONOPLE!$F$14,$M28,FB$13)="",10^12,OFFSET(CRONOPLE!$F$14,$M28,FB$13))))</f>
        <v>0</v>
      </c>
      <c r="FC28" s="211">
        <f ca="1">IF($D28&lt;&gt;"Serviço",0,IF(AND(AUTOEVENTO="Manual",$M28=1),0,IF(OFFSET(CRONOPLE!$F$14,$M28,FC$13)="",10^12,OFFSET(CRONOPLE!$F$14,$M28,FC$13))))</f>
        <v>0</v>
      </c>
      <c r="FD28" s="211">
        <f ca="1">IF($D28&lt;&gt;"Serviço",0,IF(AND(AUTOEVENTO="Manual",$M28=1),0,IF(OFFSET(CRONOPLE!$F$14,$M28,FD$13)="",10^12,OFFSET(CRONOPLE!$F$14,$M28,FD$13))))</f>
        <v>0</v>
      </c>
      <c r="FE28" s="211">
        <f ca="1">IF($D28&lt;&gt;"Serviço",0,IF(AND(AUTOEVENTO="Manual",$M28=1),0,IF(OFFSET(CRONOPLE!$F$14,$M28,FE$13)="",10^12,OFFSET(CRONOPLE!$F$14,$M28,FE$13))))</f>
        <v>0</v>
      </c>
      <c r="FF28" s="211">
        <f ca="1">IF($D28&lt;&gt;"Serviço",0,IF(AND(AUTOEVENTO="Manual",$M28=1),0,IF(OFFSET(CRONOPLE!$F$14,$M28,FF$13)="",10^12,OFFSET(CRONOPLE!$F$14,$M28,FF$13))))</f>
        <v>0</v>
      </c>
      <c r="FG28" s="211">
        <f ca="1">IF($D28&lt;&gt;"Serviço",0,IF(AND(AUTOEVENTO="Manual",$M28=1),0,IF(OFFSET(CRONOPLE!$F$14,$M28,FG$13)="",10^12,OFFSET(CRONOPLE!$F$14,$M28,FG$13))))</f>
        <v>0</v>
      </c>
      <c r="FH28" s="211">
        <f ca="1">IF($D28&lt;&gt;"Serviço",0,IF(AND(AUTOEVENTO="Manual",$M28=1),0,IF(OFFSET(CRONOPLE!$F$14,$M28,FH$13)="",10^12,OFFSET(CRONOPLE!$F$14,$M28,FH$13))))</f>
        <v>0</v>
      </c>
      <c r="FI28" s="211">
        <f ca="1">IF($D28&lt;&gt;"Serviço",0,IF(AND(AUTOEVENTO="Manual",$M28=1),0,IF(OFFSET(CRONOPLE!$F$14,$M28,FI$13)="",10^12,OFFSET(CRONOPLE!$F$14,$M28,FI$13))))</f>
        <v>0</v>
      </c>
      <c r="FJ28" s="211">
        <f ca="1">IF($D28&lt;&gt;"Serviço",0,IF(AND(AUTOEVENTO="Manual",$M28=1),0,IF(OFFSET(CRONOPLE!$F$14,$M28,FJ$13)="",10^12,OFFSET(CRONOPLE!$F$14,$M28,FJ$13))))</f>
        <v>0</v>
      </c>
      <c r="FK28" s="211">
        <f ca="1">IF($D28&lt;&gt;"Serviço",0,IF(AND(AUTOEVENTO="Manual",$M28=1),0,IF(OFFSET(CRONOPLE!$F$14,$M28,FK$13)="",10^12,OFFSET(CRONOPLE!$F$14,$M28,FK$13))))</f>
        <v>0</v>
      </c>
      <c r="FL28" s="211">
        <f ca="1">IF($D28&lt;&gt;"Serviço",0,IF(AND(AUTOEVENTO="Manual",$M28=1),0,IF(OFFSET(CRONOPLE!$F$14,$M28,FL$13)="",10^12,OFFSET(CRONOPLE!$F$14,$M28,FL$13))))</f>
        <v>0</v>
      </c>
      <c r="FN28" s="212">
        <f ca="1">IF($D28&lt;&gt;"Serviço",0,IF(OR(AND(AUTOEVENTO="Manual",$M28=1),$M28&gt;(ROW(PLE.lastrow)-ROW(PLE.firstrow))),0,IF(OFFSET(PLE!$G$14,$M28,FN$13)="",10^12,OFFSET(PLE!$G$14,$M28,FN$13))))</f>
        <v>0</v>
      </c>
      <c r="FO28" s="212">
        <f ca="1">IF($D28&lt;&gt;"Serviço",0,IF(OR(AND(AUTOEVENTO="Manual",$M28=1),$M28&gt;(ROW(PLE.lastrow)-ROW(PLE.firstrow))),0,IF(OFFSET(PLE!$G$14,$M28,FO$13)="",10^12,OFFSET(PLE!$G$14,$M28,FO$13))))</f>
        <v>0</v>
      </c>
      <c r="FP28" s="212">
        <f ca="1">IF($D28&lt;&gt;"Serviço",0,IF(OR(AND(AUTOEVENTO="Manual",$M28=1),$M28&gt;(ROW(PLE.lastrow)-ROW(PLE.firstrow))),0,IF(OFFSET(PLE!$G$14,$M28,FP$13)="",10^12,OFFSET(PLE!$G$14,$M28,FP$13))))</f>
        <v>0</v>
      </c>
      <c r="FQ28" s="212">
        <f ca="1">IF($D28&lt;&gt;"Serviço",0,IF(OR(AND(AUTOEVENTO="Manual",$M28=1),$M28&gt;(ROW(PLE.lastrow)-ROW(PLE.firstrow))),0,IF(OFFSET(PLE!$G$14,$M28,FQ$13)="",10^12,OFFSET(PLE!$G$14,$M28,FQ$13))))</f>
        <v>0</v>
      </c>
      <c r="FR28" s="212">
        <f ca="1">IF($D28&lt;&gt;"Serviço",0,IF(OR(AND(AUTOEVENTO="Manual",$M28=1),$M28&gt;(ROW(PLE.lastrow)-ROW(PLE.firstrow))),0,IF(OFFSET(PLE!$G$14,$M28,FR$13)="",10^12,OFFSET(PLE!$G$14,$M28,FR$13))))</f>
        <v>0</v>
      </c>
      <c r="FS28" s="212">
        <f ca="1">IF($D28&lt;&gt;"Serviço",0,IF(OR(AND(AUTOEVENTO="Manual",$M28=1),$M28&gt;(ROW(PLE.lastrow)-ROW(PLE.firstrow))),0,IF(OFFSET(PLE!$G$14,$M28,FS$13)="",10^12,OFFSET(PLE!$G$14,$M28,FS$13))))</f>
        <v>0</v>
      </c>
      <c r="FT28" s="212">
        <f ca="1">IF($D28&lt;&gt;"Serviço",0,IF(OR(AND(AUTOEVENTO="Manual",$M28=1),$M28&gt;(ROW(PLE.lastrow)-ROW(PLE.firstrow))),0,IF(OFFSET(PLE!$G$14,$M28,FT$13)="",10^12,OFFSET(PLE!$G$14,$M28,FT$13))))</f>
        <v>0</v>
      </c>
      <c r="FU28" s="212">
        <f ca="1">IF($D28&lt;&gt;"Serviço",0,IF(OR(AND(AUTOEVENTO="Manual",$M28=1),$M28&gt;(ROW(PLE.lastrow)-ROW(PLE.firstrow))),0,IF(OFFSET(PLE!$G$14,$M28,FU$13)="",10^12,OFFSET(PLE!$G$14,$M28,FU$13))))</f>
        <v>0</v>
      </c>
      <c r="FV28" s="212">
        <f ca="1">IF($D28&lt;&gt;"Serviço",0,IF(OR(AND(AUTOEVENTO="Manual",$M28=1),$M28&gt;(ROW(PLE.lastrow)-ROW(PLE.firstrow))),0,IF(OFFSET(PLE!$G$14,$M28,FV$13)="",10^12,OFFSET(PLE!$G$14,$M28,FV$13))))</f>
        <v>0</v>
      </c>
      <c r="FW28" s="212">
        <f ca="1">IF($D28&lt;&gt;"Serviço",0,IF(OR(AND(AUTOEVENTO="Manual",$M28=1),$M28&gt;(ROW(PLE.lastrow)-ROW(PLE.firstrow))),0,IF(OFFSET(PLE!$G$14,$M28,FW$13)="",10^12,OFFSET(PLE!$G$14,$M28,FW$13))))</f>
        <v>0</v>
      </c>
      <c r="FX28" s="212">
        <f ca="1">IF($D28&lt;&gt;"Serviço",0,IF(OR(AND(AUTOEVENTO="Manual",$M28=1),$M28&gt;(ROW(PLE.lastrow)-ROW(PLE.firstrow))),0,IF(OFFSET(PLE!$G$14,$M28,FX$13)="",10^12,OFFSET(PLE!$G$14,$M28,FX$13))))</f>
        <v>0</v>
      </c>
      <c r="FY28" s="212">
        <f ca="1">IF($D28&lt;&gt;"Serviço",0,IF(OR(AND(AUTOEVENTO="Manual",$M28=1),$M28&gt;(ROW(PLE.lastrow)-ROW(PLE.firstrow))),0,IF(OFFSET(PLE!$G$14,$M28,FY$13)="",10^12,OFFSET(PLE!$G$14,$M28,FY$13))))</f>
        <v>0</v>
      </c>
      <c r="FZ28" s="212">
        <f ca="1">IF($D28&lt;&gt;"Serviço",0,IF(OR(AND(AUTOEVENTO="Manual",$M28=1),$M28&gt;(ROW(PLE.lastrow)-ROW(PLE.firstrow))),0,IF(OFFSET(PLE!$G$14,$M28,FZ$13)="",10^12,OFFSET(PLE!$G$14,$M28,FZ$13))))</f>
        <v>0</v>
      </c>
      <c r="GA28" s="212">
        <f ca="1">IF($D28&lt;&gt;"Serviço",0,IF(OR(AND(AUTOEVENTO="Manual",$M28=1),$M28&gt;(ROW(PLE.lastrow)-ROW(PLE.firstrow))),0,IF(OFFSET(PLE!$G$14,$M28,GA$13)="",10^12,OFFSET(PLE!$G$14,$M28,GA$13))))</f>
        <v>0</v>
      </c>
      <c r="GB28" s="212">
        <f ca="1">IF($D28&lt;&gt;"Serviço",0,IF(OR(AND(AUTOEVENTO="Manual",$M28=1),$M28&gt;(ROW(PLE.lastrow)-ROW(PLE.firstrow))),0,IF(OFFSET(PLE!$G$14,$M28,GB$13)="",10^12,OFFSET(PLE!$G$14,$M28,GB$13))))</f>
        <v>0</v>
      </c>
      <c r="GC28" s="212">
        <f ca="1">IF($D28&lt;&gt;"Serviço",0,IF(OR(AND(AUTOEVENTO="Manual",$M28=1),$M28&gt;(ROW(PLE.lastrow)-ROW(PLE.firstrow))),0,IF(OFFSET(PLE!$G$14,$M28,GC$13)="",10^12,OFFSET(PLE!$G$14,$M28,GC$13))))</f>
        <v>0</v>
      </c>
      <c r="GD28" s="212">
        <f ca="1">IF($D28&lt;&gt;"Serviço",0,IF(OR(AND(AUTOEVENTO="Manual",$M28=1),$M28&gt;(ROW(PLE.lastrow)-ROW(PLE.firstrow))),0,IF(OFFSET(PLE!$G$14,$M28,GD$13)="",10^12,OFFSET(PLE!$G$14,$M28,GD$13))))</f>
        <v>0</v>
      </c>
      <c r="GE28" s="212">
        <f ca="1">IF($D28&lt;&gt;"Serviço",0,IF(OR(AND(AUTOEVENTO="Manual",$M28=1),$M28&gt;(ROW(PLE.lastrow)-ROW(PLE.firstrow))),0,IF(OFFSET(PLE!$G$14,$M28,GE$13)="",10^12,OFFSET(PLE!$G$14,$M28,GE$13))))</f>
        <v>0</v>
      </c>
      <c r="GF28" s="212">
        <f ca="1">IF($D28&lt;&gt;"Serviço",0,IF(OR(AND(AUTOEVENTO="Manual",$M28=1),$M28&gt;(ROW(PLE.lastrow)-ROW(PLE.firstrow))),0,IF(OFFSET(PLE!$G$14,$M28,GF$13)="",10^12,OFFSET(PLE!$G$14,$M28,GF$13))))</f>
        <v>0</v>
      </c>
      <c r="GG28" s="212">
        <f ca="1">IF($D28&lt;&gt;"Serviço",0,IF(OR(AND(AUTOEVENTO="Manual",$M28=1),$M28&gt;(ROW(PLE.lastrow)-ROW(PLE.firstrow))),0,IF(OFFSET(PLE!$G$14,$M28,GG$13)="",10^12,OFFSET(PLE!$G$14,$M28,GG$13))))</f>
        <v>0</v>
      </c>
      <c r="GH28" s="212">
        <f ca="1">IF($D28&lt;&gt;"Serviço",0,IF(OR(AND(AUTOEVENTO="Manual",$M28=1),$M28&gt;(ROW(PLE.lastrow)-ROW(PLE.firstrow))),0,IF(OFFSET(PLE!$G$14,$M28,GH$13)="",10^12,OFFSET(PLE!$G$14,$M28,GH$13))))</f>
        <v>0</v>
      </c>
      <c r="GI28" s="212">
        <f ca="1">IF($D28&lt;&gt;"Serviço",0,IF(OR(AND(AUTOEVENTO="Manual",$M28=1),$M28&gt;(ROW(PLE.lastrow)-ROW(PLE.firstrow))),0,IF(OFFSET(PLE!$G$14,$M28,GI$13)="",10^12,OFFSET(PLE!$G$14,$M28,GI$13))))</f>
        <v>0</v>
      </c>
      <c r="GJ28" s="212">
        <f ca="1">IF($D28&lt;&gt;"Serviço",0,IF(OR(AND(AUTOEVENTO="Manual",$M28=1),$M28&gt;(ROW(PLE.lastrow)-ROW(PLE.firstrow))),0,IF(OFFSET(PLE!$G$14,$M28,GJ$13)="",10^12,OFFSET(PLE!$G$14,$M28,GJ$13))))</f>
        <v>0</v>
      </c>
      <c r="GK28" s="212">
        <f ca="1">IF($D28&lt;&gt;"Serviço",0,IF(OR(AND(AUTOEVENTO="Manual",$M28=1),$M28&gt;(ROW(PLE.lastrow)-ROW(PLE.firstrow))),0,IF(OFFSET(PLE!$G$14,$M28,GK$13)="",10^12,OFFSET(PLE!$G$14,$M28,GK$13))))</f>
        <v>0</v>
      </c>
      <c r="GL28" s="212">
        <f ca="1">IF($D28&lt;&gt;"Serviço",0,IF(OR(AND(AUTOEVENTO="Manual",$M28=1),$M28&gt;(ROW(PLE.lastrow)-ROW(PLE.firstrow))),0,IF(OFFSET(PLE!$G$14,$M28,GL$13)="",10^12,OFFSET(PLE!$G$14,$M28,GL$13))))</f>
        <v>0</v>
      </c>
      <c r="GM28" s="212">
        <f ca="1">IF($D28&lt;&gt;"Serviço",0,IF(OR(AND(AUTOEVENTO="Manual",$M28=1),$M28&gt;(ROW(PLE.lastrow)-ROW(PLE.firstrow))),0,IF(OFFSET(PLE!$G$14,$M28,GM$13)="",10^12,OFFSET(PLE!$G$14,$M28,GM$13))))</f>
        <v>0</v>
      </c>
      <c r="GN28" s="212">
        <f ca="1">IF($D28&lt;&gt;"Serviço",0,IF(OR(AND(AUTOEVENTO="Manual",$M28=1),$M28&gt;(ROW(PLE.lastrow)-ROW(PLE.firstrow))),0,IF(OFFSET(PLE!$G$14,$M28,GN$13)="",10^12,OFFSET(PLE!$G$14,$M28,GN$13))))</f>
        <v>0</v>
      </c>
      <c r="GO28" s="212">
        <f ca="1">IF($D28&lt;&gt;"Serviço",0,IF(OR(AND(AUTOEVENTO="Manual",$M28=1),$M28&gt;(ROW(PLE.lastrow)-ROW(PLE.firstrow))),0,IF(OFFSET(PLE!$G$14,$M28,GO$13)="",10^12,OFFSET(PLE!$G$14,$M28,GO$13))))</f>
        <v>0</v>
      </c>
      <c r="GP28" s="212">
        <f ca="1">IF($D28&lt;&gt;"Serviço",0,IF(OR(AND(AUTOEVENTO="Manual",$M28=1),$M28&gt;(ROW(PLE.lastrow)-ROW(PLE.firstrow))),0,IF(OFFSET(PLE!$G$14,$M28,GP$13)="",10^12,OFFSET(PLE!$G$14,$M28,GP$13))))</f>
        <v>0</v>
      </c>
      <c r="GQ28" s="212">
        <f ca="1">IF($D28&lt;&gt;"Serviço",0,IF(OR(AND(AUTOEVENTO="Manual",$M28=1),$M28&gt;(ROW(PLE.lastrow)-ROW(PLE.firstrow))),0,IF(OFFSET(PLE!$G$14,$M28,GQ$13)="",10^12,OFFSET(PLE!$G$14,$M28,GQ$13))))</f>
        <v>0</v>
      </c>
      <c r="GR28" s="212">
        <f ca="1">IF($D28&lt;&gt;"Serviço",0,IF(OR(AND(AUTOEVENTO="Manual",$M28=1),$M28&gt;(ROW(PLE.lastrow)-ROW(PLE.firstrow))),0,IF(OFFSET(PLE!$G$14,$M28,GR$13)="",10^12,OFFSET(PLE!$G$14,$M28,GR$13))))</f>
        <v>0</v>
      </c>
      <c r="GS28" s="212">
        <f ca="1">IF($D28&lt;&gt;"Serviço",0,IF(OR(AND(AUTOEVENTO="Manual",$M28=1),$M28&gt;(ROW(PLE.lastrow)-ROW(PLE.firstrow))),0,IF(OFFSET(PLE!$G$14,$M28,GS$13)="",10^12,OFFSET(PLE!$G$14,$M28,GS$13))))</f>
        <v>0</v>
      </c>
      <c r="GT28" s="212">
        <f ca="1">IF($D28&lt;&gt;"Serviço",0,IF(OR(AND(AUTOEVENTO="Manual",$M28=1),$M28&gt;(ROW(PLE.lastrow)-ROW(PLE.firstrow))),0,IF(OFFSET(PLE!$G$14,$M28,GT$13)="",10^12,OFFSET(PLE!$G$14,$M28,GT$13))))</f>
        <v>0</v>
      </c>
      <c r="GU28" s="212">
        <f ca="1">IF($D28&lt;&gt;"Serviço",0,IF(OR(AND(AUTOEVENTO="Manual",$M28=1),$M28&gt;(ROW(PLE.lastrow)-ROW(PLE.firstrow))),0,IF(OFFSET(PLE!$G$14,$M28,GU$13)="",10^12,OFFSET(PLE!$G$14,$M28,GU$13))))</f>
        <v>0</v>
      </c>
      <c r="GV28" s="212">
        <f ca="1">IF($D28&lt;&gt;"Serviço",0,IF(OR(AND(AUTOEVENTO="Manual",$M28=1),$M28&gt;(ROW(PLE.lastrow)-ROW(PLE.firstrow))),0,IF(OFFSET(PLE!$G$14,$M28,GV$13)="",10^12,OFFSET(PLE!$G$14,$M28,GV$13))))</f>
        <v>0</v>
      </c>
      <c r="GW28" s="212">
        <f ca="1">IF($D28&lt;&gt;"Serviço",0,IF(OR(AND(AUTOEVENTO="Manual",$M28=1),$M28&gt;(ROW(PLE.lastrow)-ROW(PLE.firstrow))),0,IF(OFFSET(PLE!$G$14,$M28,GW$13)="",10^12,OFFSET(PLE!$G$14,$M28,GW$13))))</f>
        <v>0</v>
      </c>
      <c r="GX28" s="212">
        <f ca="1">IF($D28&lt;&gt;"Serviço",0,IF(OR(AND(AUTOEVENTO="Manual",$M28=1),$M28&gt;(ROW(PLE.lastrow)-ROW(PLE.firstrow))),0,IF(OFFSET(PLE!$G$14,$M28,GX$13)="",10^12,OFFSET(PLE!$G$14,$M28,GX$13))))</f>
        <v>0</v>
      </c>
      <c r="GY28" s="212">
        <f ca="1">IF($D28&lt;&gt;"Serviço",0,IF(OR(AND(AUTOEVENTO="Manual",$M28=1),$M28&gt;(ROW(PLE.lastrow)-ROW(PLE.firstrow))),0,IF(OFFSET(PLE!$G$14,$M28,GY$13)="",10^12,OFFSET(PLE!$G$14,$M28,GY$13))))</f>
        <v>0</v>
      </c>
      <c r="GZ28" s="212">
        <f ca="1">IF($D28&lt;&gt;"Serviço",0,IF(OR(AND(AUTOEVENTO="Manual",$M28=1),$M28&gt;(ROW(PLE.lastrow)-ROW(PLE.firstrow))),0,IF(OFFSET(PLE!$G$14,$M28,GZ$13)="",10^12,OFFSET(PLE!$G$14,$M28,GZ$13))))</f>
        <v>0</v>
      </c>
      <c r="HA28" s="212">
        <f ca="1">IF($D28&lt;&gt;"Serviço",0,IF(OR(AND(AUTOEVENTO="Manual",$M28=1),$M28&gt;(ROW(PLE.lastrow)-ROW(PLE.firstrow))),0,IF(OFFSET(PLE!$G$14,$M28,HA$13)="",10^12,OFFSET(PLE!$G$14,$M28,HA$13))))</f>
        <v>0</v>
      </c>
      <c r="HB28" s="212">
        <f ca="1">IF($D28&lt;&gt;"Serviço",0,IF(OR(AND(AUTOEVENTO="Manual",$M28=1),$M28&gt;(ROW(PLE.lastrow)-ROW(PLE.firstrow))),0,IF(OFFSET(PLE!$G$14,$M28,HB$13)="",10^12,OFFSET(PLE!$G$14,$M28,HB$13))))</f>
        <v>0</v>
      </c>
      <c r="HC28" s="212">
        <f ca="1">IF($D28&lt;&gt;"Serviço",0,IF(OR(AND(AUTOEVENTO="Manual",$M28=1),$M28&gt;(ROW(PLE.lastrow)-ROW(PLE.firstrow))),0,IF(OFFSET(PLE!$G$14,$M28,HC$13)="",10^12,OFFSET(PLE!$G$14,$M28,HC$13))))</f>
        <v>0</v>
      </c>
      <c r="HD28" s="212">
        <f ca="1">IF($D28&lt;&gt;"Serviço",0,IF(OR(AND(AUTOEVENTO="Manual",$M28=1),$M28&gt;(ROW(PLE.lastrow)-ROW(PLE.firstrow))),0,IF(OFFSET(PLE!$G$14,$M28,HD$13)="",10^12,OFFSET(PLE!$G$14,$M28,HD$13))))</f>
        <v>0</v>
      </c>
      <c r="HE28" s="212">
        <f ca="1">IF($D28&lt;&gt;"Serviço",0,IF(OR(AND(AUTOEVENTO="Manual",$M28=1),$M28&gt;(ROW(PLE.lastrow)-ROW(PLE.firstrow))),0,IF(OFFSET(PLE!$G$14,$M28,HE$13)="",10^12,OFFSET(PLE!$G$14,$M28,HE$13))))</f>
        <v>0</v>
      </c>
      <c r="HF28" s="212">
        <f ca="1">IF($D28&lt;&gt;"Serviço",0,IF(OR(AND(AUTOEVENTO="Manual",$M28=1),$M28&gt;(ROW(PLE.lastrow)-ROW(PLE.firstrow))),0,IF(OFFSET(PLE!$G$14,$M28,HF$13)="",10^12,OFFSET(PLE!$G$14,$M28,HF$13))))</f>
        <v>0</v>
      </c>
      <c r="HG28" s="212">
        <f ca="1">IF($D28&lt;&gt;"Serviço",0,IF(OR(AND(AUTOEVENTO="Manual",$M28=1),$M28&gt;(ROW(PLE.lastrow)-ROW(PLE.firstrow))),0,IF(OFFSET(PLE!$G$14,$M28,HG$13)="",10^12,OFFSET(PLE!$G$14,$M28,HG$13))))</f>
        <v>0</v>
      </c>
      <c r="HH28" s="212">
        <f ca="1">IF($D28&lt;&gt;"Serviço",0,IF(OR(AND(AUTOEVENTO="Manual",$M28=1),$M28&gt;(ROW(PLE.lastrow)-ROW(PLE.firstrow))),0,IF(OFFSET(PLE!$G$14,$M28,HH$13)="",10^12,OFFSET(PLE!$G$14,$M28,HH$13))))</f>
        <v>0</v>
      </c>
      <c r="HI28" s="212">
        <f ca="1">IF($D28&lt;&gt;"Serviço",0,IF(OR(AND(AUTOEVENTO="Manual",$M28=1),$M28&gt;(ROW(PLE.lastrow)-ROW(PLE.firstrow))),0,IF(OFFSET(PLE!$G$14,$M28,HI$13)="",10^12,OFFSET(PLE!$G$14,$M28,HI$13))))</f>
        <v>0</v>
      </c>
      <c r="HJ28" s="212">
        <f ca="1">IF($D28&lt;&gt;"Serviço",0,IF(OR(AND(AUTOEVENTO="Manual",$M28=1),$M28&gt;(ROW(PLE.lastrow)-ROW(PLE.firstrow))),0,IF(OFFSET(PLE!$G$14,$M28,HJ$13)="",10^12,OFFSET(PLE!$G$14,$M28,HJ$13))))</f>
        <v>0</v>
      </c>
      <c r="HK28" s="212">
        <f ca="1">IF($D28&lt;&gt;"Serviço",0,IF(OR(AND(AUTOEVENTO="Manual",$M28=1),$M28&gt;(ROW(PLE.lastrow)-ROW(PLE.firstrow))),0,IF(OFFSET(PLE!$G$14,$M28,HK$13)="",10^12,OFFSET(PLE!$G$14,$M28,HK$13))))</f>
        <v>0</v>
      </c>
    </row>
    <row r="29" spans="1:219" ht="63.75" x14ac:dyDescent="0.2">
      <c r="A29" s="9" t="str">
        <f t="shared" ca="1" si="10"/>
        <v>13</v>
      </c>
      <c r="B29" s="9" t="str">
        <f ca="1">OFFSET(ORÇAMENTO!C$15,ROW(B29)-ROW(B$15),0)</f>
        <v>S</v>
      </c>
      <c r="C29" s="9" t="str">
        <f ca="1">OFFSET(ORÇAMENTO!L$15,ROW(C29)-ROW(C$15),0)</f>
        <v>F</v>
      </c>
      <c r="D29" s="141" t="str">
        <f ca="1">OFFSET(ORÇAMENTO!N$15,ROW(D29)-ROW(D$15),0)</f>
        <v>Serviço</v>
      </c>
      <c r="E29" s="201" t="str">
        <f ca="1">OFFSET(ORÇAMENTO!O$15,ROW(E29)-ROW(E$15),0)</f>
        <v>1.5.1.</v>
      </c>
      <c r="F29" s="202" t="str">
        <f ca="1">OFFSET(ORÇAMENTO!R$15,ROW(F29)-ROW(F$15),0)</f>
        <v>Placa de regulamentação em aço, R1 lado 0,331 m - película retrorrefletiva tipo I + SI - fornecimento e implantação</v>
      </c>
      <c r="G29" s="203" t="str">
        <f ca="1">IF($D29&lt;&gt;"Serviço","",OFFSET(ORÇAMENTO!S$15,ROW(G29)-ROW(G$15),0))</f>
        <v>Unidade</v>
      </c>
      <c r="H29" s="147">
        <f ca="1">IF($D29&lt;&gt;"Serviço",0,IF(ACOMPANHAMENTO="BM",ROUND(OFFSET(ORÇAMENTO!AJ$15,ROW(H29)-ROW(H$15),0),15-13*ORÇAMENTO!$AF$7),SUMPRODUCT(($Q$12:$BO$12&lt;&gt;"")*ROUND($Q29:$BO29,15-13*ORÇAMENTO!$AF$7))))</f>
        <v>4</v>
      </c>
      <c r="I29" s="646" t="s">
        <v>495</v>
      </c>
      <c r="K29" s="204"/>
      <c r="L29" s="205" t="s">
        <v>257</v>
      </c>
      <c r="M29" s="206">
        <f ca="1">IF($D29&lt;&gt;"Serviço","",IF(AUTOEVENTO="manual",$A29,IF(ISERROR(MATCH($A29,$A$15:OFFSET($A29,-1,0),0)),MAX($M$15:OFFSET(M29,-1,0))+1,INDEX($M$15:OFFSET(M29,-1,0),MATCH($A29,$A$15:OFFSET($A29,-1,0),0)))))</f>
        <v>6</v>
      </c>
      <c r="N29" s="207" t="str">
        <f ca="1">IF($D29&lt;&gt;"Serviço","",IF(AUTOEVENTO="Manual",IF($A29=0,"&lt;-- defina o número do agrupador",OFFSET(EVENTOS!$D$14,$A29,0)),OFFSET($F$15,$A29,0)))</f>
        <v>SINALIZAÇÃO VIÁRIA</v>
      </c>
      <c r="O29" s="208"/>
      <c r="Q29" s="208">
        <v>2</v>
      </c>
      <c r="R29" s="209"/>
      <c r="S29" s="209">
        <v>2</v>
      </c>
      <c r="T29" s="209"/>
      <c r="U29" s="209"/>
      <c r="V29" s="209"/>
      <c r="W29" s="209"/>
      <c r="X29" s="209"/>
      <c r="Y29" s="209"/>
      <c r="Z29" s="210"/>
      <c r="AA29" s="209"/>
      <c r="AB29" s="209"/>
      <c r="AC29" s="209"/>
      <c r="AD29" s="209"/>
      <c r="AE29" s="209"/>
      <c r="AF29" s="209"/>
      <c r="AG29" s="209"/>
      <c r="AH29" s="210"/>
      <c r="AI29" s="209"/>
      <c r="AJ29" s="209"/>
      <c r="AK29" s="209"/>
      <c r="AL29" s="209"/>
      <c r="AM29" s="209"/>
      <c r="AN29" s="209"/>
      <c r="AO29" s="209"/>
      <c r="AP29" s="210"/>
      <c r="AQ29" s="209"/>
      <c r="AR29" s="209"/>
      <c r="AS29" s="209"/>
      <c r="AT29" s="209"/>
      <c r="AU29" s="209"/>
      <c r="AV29" s="209"/>
      <c r="AW29" s="209"/>
      <c r="AX29" s="210"/>
      <c r="AY29" s="209"/>
      <c r="AZ29" s="209"/>
      <c r="BA29" s="209"/>
      <c r="BB29" s="209"/>
      <c r="BC29" s="209"/>
      <c r="BD29" s="209"/>
      <c r="BE29" s="209"/>
      <c r="BF29" s="210"/>
      <c r="BG29" s="209"/>
      <c r="BH29" s="209"/>
      <c r="BI29" s="209"/>
      <c r="BJ29" s="209"/>
      <c r="BK29" s="209"/>
      <c r="BL29" s="209"/>
      <c r="BM29" s="209"/>
      <c r="BN29" s="210"/>
      <c r="BP29" s="627">
        <f ca="1">IF(AND($D29="Serviço",BP$12&lt;&gt;0,$H29&gt;0,OR(AUTOEVENTO&lt;&gt;"manual",$M29&lt;&gt;1)),ROUND(OFFSET($P29,0,BP$13),15-13*ORÇAMENTO!$AF$7)/$H29*OFFSET(ORÇAMENTO!$X$15,ROW(BP29)-ROW(BP$15),0),0)</f>
        <v>1034.18</v>
      </c>
      <c r="BQ29" s="628">
        <f ca="1">IF(AND($D29="Serviço",BQ$12&lt;&gt;0,$H29&gt;0,OR(AUTOEVENTO&lt;&gt;"manual",$M29&lt;&gt;1)),ROUND(OFFSET($P29,0,BQ$13),15-13*ORÇAMENTO!$AF$7)/$H29*OFFSET(ORÇAMENTO!$X$15,ROW(BQ29)-ROW(BQ$15),0),0)</f>
        <v>0</v>
      </c>
      <c r="BR29" s="628">
        <f ca="1">IF(AND($D29="Serviço",BR$12&lt;&gt;0,$H29&gt;0,OR(AUTOEVENTO&lt;&gt;"manual",$M29&lt;&gt;1)),ROUND(OFFSET($P29,0,BR$13),15-13*ORÇAMENTO!$AF$7)/$H29*OFFSET(ORÇAMENTO!$X$15,ROW(BR29)-ROW(BR$15),0),0)</f>
        <v>1034.18</v>
      </c>
      <c r="BS29" s="628">
        <f ca="1">IF(AND($D29="Serviço",BS$12&lt;&gt;0,$H29&gt;0,OR(AUTOEVENTO&lt;&gt;"manual",$M29&lt;&gt;1)),ROUND(OFFSET($P29,0,BS$13),15-13*ORÇAMENTO!$AF$7)/$H29*OFFSET(ORÇAMENTO!$X$15,ROW(BS29)-ROW(BS$15),0),0)</f>
        <v>0</v>
      </c>
      <c r="BT29" s="628">
        <f ca="1">IF(AND($D29="Serviço",BT$12&lt;&gt;0,$H29&gt;0,OR(AUTOEVENTO&lt;&gt;"manual",$M29&lt;&gt;1)),ROUND(OFFSET($P29,0,BT$13),15-13*ORÇAMENTO!$AF$7)/$H29*OFFSET(ORÇAMENTO!$X$15,ROW(BT29)-ROW(BT$15),0),0)</f>
        <v>0</v>
      </c>
      <c r="BU29" s="628">
        <f ca="1">IF(AND($D29="Serviço",BU$12&lt;&gt;0,$H29&gt;0,OR(AUTOEVENTO&lt;&gt;"manual",$M29&lt;&gt;1)),ROUND(OFFSET($P29,0,BU$13),15-13*ORÇAMENTO!$AF$7)/$H29*OFFSET(ORÇAMENTO!$X$15,ROW(BU29)-ROW(BU$15),0),0)</f>
        <v>0</v>
      </c>
      <c r="BV29" s="628">
        <f ca="1">IF(AND($D29="Serviço",BV$12&lt;&gt;0,$H29&gt;0,OR(AUTOEVENTO&lt;&gt;"manual",$M29&lt;&gt;1)),ROUND(OFFSET($P29,0,BV$13),15-13*ORÇAMENTO!$AF$7)/$H29*OFFSET(ORÇAMENTO!$X$15,ROW(BV29)-ROW(BV$15),0),0)</f>
        <v>0</v>
      </c>
      <c r="BW29" s="628">
        <f ca="1">IF(AND($D29="Serviço",BW$12&lt;&gt;0,$H29&gt;0,OR(AUTOEVENTO&lt;&gt;"manual",$M29&lt;&gt;1)),ROUND(OFFSET($P29,0,BW$13),15-13*ORÇAMENTO!$AF$7)/$H29*OFFSET(ORÇAMENTO!$X$15,ROW(BW29)-ROW(BW$15),0),0)</f>
        <v>0</v>
      </c>
      <c r="BX29" s="628">
        <f ca="1">IF(AND($D29="Serviço",BX$12&lt;&gt;0,$H29&gt;0,OR(AUTOEVENTO&lt;&gt;"manual",$M29&lt;&gt;1)),ROUND(OFFSET($P29,0,BX$13),15-13*ORÇAMENTO!$AF$7)/$H29*OFFSET(ORÇAMENTO!$X$15,ROW(BX29)-ROW(BX$15),0),0)</f>
        <v>0</v>
      </c>
      <c r="BY29" s="629">
        <f ca="1">IF(AND($D29="Serviço",BY$12&lt;&gt;0,$H29&gt;0,OR(AUTOEVENTO&lt;&gt;"manual",$M29&lt;&gt;1)),ROUND(OFFSET($P29,0,BY$13),15-13*ORÇAMENTO!$AF$7)/$H29*OFFSET(ORÇAMENTO!$X$15,ROW(BY29)-ROW(BY$15),0),0)</f>
        <v>0</v>
      </c>
      <c r="BZ29" s="628">
        <f ca="1">IF(AND($D29="Serviço",BZ$12&lt;&gt;0,$H29&gt;0,OR(AUTOEVENTO&lt;&gt;"manual",$M29&lt;&gt;1)),ROUND(OFFSET($P29,0,BZ$13),15-13*ORÇAMENTO!$AF$7)/$H29*OFFSET(ORÇAMENTO!$X$15,ROW(BZ29)-ROW(BZ$15),0),0)</f>
        <v>0</v>
      </c>
      <c r="CA29" s="628">
        <f ca="1">IF(AND($D29="Serviço",CA$12&lt;&gt;0,$H29&gt;0,OR(AUTOEVENTO&lt;&gt;"manual",$M29&lt;&gt;1)),ROUND(OFFSET($P29,0,CA$13),15-13*ORÇAMENTO!$AF$7)/$H29*OFFSET(ORÇAMENTO!$X$15,ROW(CA29)-ROW(CA$15),0),0)</f>
        <v>0</v>
      </c>
      <c r="CB29" s="628">
        <f ca="1">IF(AND($D29="Serviço",CB$12&lt;&gt;0,$H29&gt;0,OR(AUTOEVENTO&lt;&gt;"manual",$M29&lt;&gt;1)),ROUND(OFFSET($P29,0,CB$13),15-13*ORÇAMENTO!$AF$7)/$H29*OFFSET(ORÇAMENTO!$X$15,ROW(CB29)-ROW(CB$15),0),0)</f>
        <v>0</v>
      </c>
      <c r="CC29" s="628">
        <f ca="1">IF(AND($D29="Serviço",CC$12&lt;&gt;0,$H29&gt;0,OR(AUTOEVENTO&lt;&gt;"manual",$M29&lt;&gt;1)),ROUND(OFFSET($P29,0,CC$13),15-13*ORÇAMENTO!$AF$7)/$H29*OFFSET(ORÇAMENTO!$X$15,ROW(CC29)-ROW(CC$15),0),0)</f>
        <v>0</v>
      </c>
      <c r="CD29" s="628">
        <f ca="1">IF(AND($D29="Serviço",CD$12&lt;&gt;0,$H29&gt;0,OR(AUTOEVENTO&lt;&gt;"manual",$M29&lt;&gt;1)),ROUND(OFFSET($P29,0,CD$13),15-13*ORÇAMENTO!$AF$7)/$H29*OFFSET(ORÇAMENTO!$X$15,ROW(CD29)-ROW(CD$15),0),0)</f>
        <v>0</v>
      </c>
      <c r="CE29" s="628">
        <f ca="1">IF(AND($D29="Serviço",CE$12&lt;&gt;0,$H29&gt;0,OR(AUTOEVENTO&lt;&gt;"manual",$M29&lt;&gt;1)),ROUND(OFFSET($P29,0,CE$13),15-13*ORÇAMENTO!$AF$7)/$H29*OFFSET(ORÇAMENTO!$X$15,ROW(CE29)-ROW(CE$15),0),0)</f>
        <v>0</v>
      </c>
      <c r="CF29" s="628">
        <f ca="1">IF(AND($D29="Serviço",CF$12&lt;&gt;0,$H29&gt;0,OR(AUTOEVENTO&lt;&gt;"manual",$M29&lt;&gt;1)),ROUND(OFFSET($P29,0,CF$13),15-13*ORÇAMENTO!$AF$7)/$H29*OFFSET(ORÇAMENTO!$X$15,ROW(CF29)-ROW(CF$15),0),0)</f>
        <v>0</v>
      </c>
      <c r="CG29" s="629">
        <f ca="1">IF(AND($D29="Serviço",CG$12&lt;&gt;0,$H29&gt;0,OR(AUTOEVENTO&lt;&gt;"manual",$M29&lt;&gt;1)),ROUND(OFFSET($P29,0,CG$13),15-13*ORÇAMENTO!$AF$7)/$H29*OFFSET(ORÇAMENTO!$X$15,ROW(CG29)-ROW(CG$15),0),0)</f>
        <v>0</v>
      </c>
      <c r="CH29" s="628">
        <f ca="1">IF(AND($D29="Serviço",CH$12&lt;&gt;0,$H29&gt;0,OR(AUTOEVENTO&lt;&gt;"manual",$M29&lt;&gt;1)),ROUND(OFFSET($P29,0,CH$13),15-13*ORÇAMENTO!$AF$7)/$H29*OFFSET(ORÇAMENTO!$X$15,ROW(CH29)-ROW(CH$15),0),0)</f>
        <v>0</v>
      </c>
      <c r="CI29" s="628">
        <f ca="1">IF(AND($D29="Serviço",CI$12&lt;&gt;0,$H29&gt;0,OR(AUTOEVENTO&lt;&gt;"manual",$M29&lt;&gt;1)),ROUND(OFFSET($P29,0,CI$13),15-13*ORÇAMENTO!$AF$7)/$H29*OFFSET(ORÇAMENTO!$X$15,ROW(CI29)-ROW(CI$15),0),0)</f>
        <v>0</v>
      </c>
      <c r="CJ29" s="628">
        <f ca="1">IF(AND($D29="Serviço",CJ$12&lt;&gt;0,$H29&gt;0,OR(AUTOEVENTO&lt;&gt;"manual",$M29&lt;&gt;1)),ROUND(OFFSET($P29,0,CJ$13),15-13*ORÇAMENTO!$AF$7)/$H29*OFFSET(ORÇAMENTO!$X$15,ROW(CJ29)-ROW(CJ$15),0),0)</f>
        <v>0</v>
      </c>
      <c r="CK29" s="628">
        <f ca="1">IF(AND($D29="Serviço",CK$12&lt;&gt;0,$H29&gt;0,OR(AUTOEVENTO&lt;&gt;"manual",$M29&lt;&gt;1)),ROUND(OFFSET($P29,0,CK$13),15-13*ORÇAMENTO!$AF$7)/$H29*OFFSET(ORÇAMENTO!$X$15,ROW(CK29)-ROW(CK$15),0),0)</f>
        <v>0</v>
      </c>
      <c r="CL29" s="628">
        <f ca="1">IF(AND($D29="Serviço",CL$12&lt;&gt;0,$H29&gt;0,OR(AUTOEVENTO&lt;&gt;"manual",$M29&lt;&gt;1)),ROUND(OFFSET($P29,0,CL$13),15-13*ORÇAMENTO!$AF$7)/$H29*OFFSET(ORÇAMENTO!$X$15,ROW(CL29)-ROW(CL$15),0),0)</f>
        <v>0</v>
      </c>
      <c r="CM29" s="628">
        <f ca="1">IF(AND($D29="Serviço",CM$12&lt;&gt;0,$H29&gt;0,OR(AUTOEVENTO&lt;&gt;"manual",$M29&lt;&gt;1)),ROUND(OFFSET($P29,0,CM$13),15-13*ORÇAMENTO!$AF$7)/$H29*OFFSET(ORÇAMENTO!$X$15,ROW(CM29)-ROW(CM$15),0),0)</f>
        <v>0</v>
      </c>
      <c r="CN29" s="628">
        <f ca="1">IF(AND($D29="Serviço",CN$12&lt;&gt;0,$H29&gt;0,OR(AUTOEVENTO&lt;&gt;"manual",$M29&lt;&gt;1)),ROUND(OFFSET($P29,0,CN$13),15-13*ORÇAMENTO!$AF$7)/$H29*OFFSET(ORÇAMENTO!$X$15,ROW(CN29)-ROW(CN$15),0),0)</f>
        <v>0</v>
      </c>
      <c r="CO29" s="629">
        <f ca="1">IF(AND($D29="Serviço",CO$12&lt;&gt;0,$H29&gt;0,OR(AUTOEVENTO&lt;&gt;"manual",$M29&lt;&gt;1)),ROUND(OFFSET($P29,0,CO$13),15-13*ORÇAMENTO!$AF$7)/$H29*OFFSET(ORÇAMENTO!$X$15,ROW(CO29)-ROW(CO$15),0),0)</f>
        <v>0</v>
      </c>
      <c r="CP29" s="628">
        <f ca="1">IF(AND($D29="Serviço",CP$12&lt;&gt;0,$H29&gt;0,OR(AUTOEVENTO&lt;&gt;"manual",$M29&lt;&gt;1)),ROUND(OFFSET($P29,0,CP$13),15-13*ORÇAMENTO!$AF$7)/$H29*OFFSET(ORÇAMENTO!$X$15,ROW(CP29)-ROW(CP$15),0),0)</f>
        <v>0</v>
      </c>
      <c r="CQ29" s="628">
        <f ca="1">IF(AND($D29="Serviço",CQ$12&lt;&gt;0,$H29&gt;0,OR(AUTOEVENTO&lt;&gt;"manual",$M29&lt;&gt;1)),ROUND(OFFSET($P29,0,CQ$13),15-13*ORÇAMENTO!$AF$7)/$H29*OFFSET(ORÇAMENTO!$X$15,ROW(CQ29)-ROW(CQ$15),0),0)</f>
        <v>0</v>
      </c>
      <c r="CR29" s="628">
        <f ca="1">IF(AND($D29="Serviço",CR$12&lt;&gt;0,$H29&gt;0,OR(AUTOEVENTO&lt;&gt;"manual",$M29&lt;&gt;1)),ROUND(OFFSET($P29,0,CR$13),15-13*ORÇAMENTO!$AF$7)/$H29*OFFSET(ORÇAMENTO!$X$15,ROW(CR29)-ROW(CR$15),0),0)</f>
        <v>0</v>
      </c>
      <c r="CS29" s="628">
        <f ca="1">IF(AND($D29="Serviço",CS$12&lt;&gt;0,$H29&gt;0,OR(AUTOEVENTO&lt;&gt;"manual",$M29&lt;&gt;1)),ROUND(OFFSET($P29,0,CS$13),15-13*ORÇAMENTO!$AF$7)/$H29*OFFSET(ORÇAMENTO!$X$15,ROW(CS29)-ROW(CS$15),0),0)</f>
        <v>0</v>
      </c>
      <c r="CT29" s="628">
        <f ca="1">IF(AND($D29="Serviço",CT$12&lt;&gt;0,$H29&gt;0,OR(AUTOEVENTO&lt;&gt;"manual",$M29&lt;&gt;1)),ROUND(OFFSET($P29,0,CT$13),15-13*ORÇAMENTO!$AF$7)/$H29*OFFSET(ORÇAMENTO!$X$15,ROW(CT29)-ROW(CT$15),0),0)</f>
        <v>0</v>
      </c>
      <c r="CU29" s="628">
        <f ca="1">IF(AND($D29="Serviço",CU$12&lt;&gt;0,$H29&gt;0,OR(AUTOEVENTO&lt;&gt;"manual",$M29&lt;&gt;1)),ROUND(OFFSET($P29,0,CU$13),15-13*ORÇAMENTO!$AF$7)/$H29*OFFSET(ORÇAMENTO!$X$15,ROW(CU29)-ROW(CU$15),0),0)</f>
        <v>0</v>
      </c>
      <c r="CV29" s="628">
        <f ca="1">IF(AND($D29="Serviço",CV$12&lt;&gt;0,$H29&gt;0,OR(AUTOEVENTO&lt;&gt;"manual",$M29&lt;&gt;1)),ROUND(OFFSET($P29,0,CV$13),15-13*ORÇAMENTO!$AF$7)/$H29*OFFSET(ORÇAMENTO!$X$15,ROW(CV29)-ROW(CV$15),0),0)</f>
        <v>0</v>
      </c>
      <c r="CW29" s="629">
        <f ca="1">IF(AND($D29="Serviço",CW$12&lt;&gt;0,$H29&gt;0,OR(AUTOEVENTO&lt;&gt;"manual",$M29&lt;&gt;1)),ROUND(OFFSET($P29,0,CW$13),15-13*ORÇAMENTO!$AF$7)/$H29*OFFSET(ORÇAMENTO!$X$15,ROW(CW29)-ROW(CW$15),0),0)</f>
        <v>0</v>
      </c>
      <c r="CX29" s="628">
        <f ca="1">IF(AND($D29="Serviço",CX$12&lt;&gt;0,$H29&gt;0,OR(AUTOEVENTO&lt;&gt;"manual",$M29&lt;&gt;1)),ROUND(OFFSET($P29,0,CX$13),15-13*ORÇAMENTO!$AF$7)/$H29*OFFSET(ORÇAMENTO!$X$15,ROW(CX29)-ROW(CX$15),0),0)</f>
        <v>0</v>
      </c>
      <c r="CY29" s="628">
        <f ca="1">IF(AND($D29="Serviço",CY$12&lt;&gt;0,$H29&gt;0,OR(AUTOEVENTO&lt;&gt;"manual",$M29&lt;&gt;1)),ROUND(OFFSET($P29,0,CY$13),15-13*ORÇAMENTO!$AF$7)/$H29*OFFSET(ORÇAMENTO!$X$15,ROW(CY29)-ROW(CY$15),0),0)</f>
        <v>0</v>
      </c>
      <c r="CZ29" s="628">
        <f ca="1">IF(AND($D29="Serviço",CZ$12&lt;&gt;0,$H29&gt;0,OR(AUTOEVENTO&lt;&gt;"manual",$M29&lt;&gt;1)),ROUND(OFFSET($P29,0,CZ$13),15-13*ORÇAMENTO!$AF$7)/$H29*OFFSET(ORÇAMENTO!$X$15,ROW(CZ29)-ROW(CZ$15),0),0)</f>
        <v>0</v>
      </c>
      <c r="DA29" s="628">
        <f ca="1">IF(AND($D29="Serviço",DA$12&lt;&gt;0,$H29&gt;0,OR(AUTOEVENTO&lt;&gt;"manual",$M29&lt;&gt;1)),ROUND(OFFSET($P29,0,DA$13),15-13*ORÇAMENTO!$AF$7)/$H29*OFFSET(ORÇAMENTO!$X$15,ROW(DA29)-ROW(DA$15),0),0)</f>
        <v>0</v>
      </c>
      <c r="DB29" s="628">
        <f ca="1">IF(AND($D29="Serviço",DB$12&lt;&gt;0,$H29&gt;0,OR(AUTOEVENTO&lt;&gt;"manual",$M29&lt;&gt;1)),ROUND(OFFSET($P29,0,DB$13),15-13*ORÇAMENTO!$AF$7)/$H29*OFFSET(ORÇAMENTO!$X$15,ROW(DB29)-ROW(DB$15),0),0)</f>
        <v>0</v>
      </c>
      <c r="DC29" s="628">
        <f ca="1">IF(AND($D29="Serviço",DC$12&lt;&gt;0,$H29&gt;0,OR(AUTOEVENTO&lt;&gt;"manual",$M29&lt;&gt;1)),ROUND(OFFSET($P29,0,DC$13),15-13*ORÇAMENTO!$AF$7)/$H29*OFFSET(ORÇAMENTO!$X$15,ROW(DC29)-ROW(DC$15),0),0)</f>
        <v>0</v>
      </c>
      <c r="DD29" s="628">
        <f ca="1">IF(AND($D29="Serviço",DD$12&lt;&gt;0,$H29&gt;0,OR(AUTOEVENTO&lt;&gt;"manual",$M29&lt;&gt;1)),ROUND(OFFSET($P29,0,DD$13),15-13*ORÇAMENTO!$AF$7)/$H29*OFFSET(ORÇAMENTO!$X$15,ROW(DD29)-ROW(DD$15),0),0)</f>
        <v>0</v>
      </c>
      <c r="DE29" s="629">
        <f ca="1">IF(AND($D29="Serviço",DE$12&lt;&gt;0,$H29&gt;0,OR(AUTOEVENTO&lt;&gt;"manual",$M29&lt;&gt;1)),ROUND(OFFSET($P29,0,DE$13),15-13*ORÇAMENTO!$AF$7)/$H29*OFFSET(ORÇAMENTO!$X$15,ROW(DE29)-ROW(DE$15),0),0)</f>
        <v>0</v>
      </c>
      <c r="DF29" s="628">
        <f ca="1">IF(AND($D29="Serviço",DF$12&lt;&gt;0,$H29&gt;0,OR(AUTOEVENTO&lt;&gt;"manual",$M29&lt;&gt;1)),ROUND(OFFSET($P29,0,DF$13),15-13*ORÇAMENTO!$AF$7)/$H29*OFFSET(ORÇAMENTO!$X$15,ROW(DF29)-ROW(DF$15),0),0)</f>
        <v>0</v>
      </c>
      <c r="DG29" s="628">
        <f ca="1">IF(AND($D29="Serviço",DG$12&lt;&gt;0,$H29&gt;0,OR(AUTOEVENTO&lt;&gt;"manual",$M29&lt;&gt;1)),ROUND(OFFSET($P29,0,DG$13),15-13*ORÇAMENTO!$AF$7)/$H29*OFFSET(ORÇAMENTO!$X$15,ROW(DG29)-ROW(DG$15),0),0)</f>
        <v>0</v>
      </c>
      <c r="DH29" s="628">
        <f ca="1">IF(AND($D29="Serviço",DH$12&lt;&gt;0,$H29&gt;0,OR(AUTOEVENTO&lt;&gt;"manual",$M29&lt;&gt;1)),ROUND(OFFSET($P29,0,DH$13),15-13*ORÇAMENTO!$AF$7)/$H29*OFFSET(ORÇAMENTO!$X$15,ROW(DH29)-ROW(DH$15),0),0)</f>
        <v>0</v>
      </c>
      <c r="DI29" s="628">
        <f ca="1">IF(AND($D29="Serviço",DI$12&lt;&gt;0,$H29&gt;0,OR(AUTOEVENTO&lt;&gt;"manual",$M29&lt;&gt;1)),ROUND(OFFSET($P29,0,DI$13),15-13*ORÇAMENTO!$AF$7)/$H29*OFFSET(ORÇAMENTO!$X$15,ROW(DI29)-ROW(DI$15),0),0)</f>
        <v>0</v>
      </c>
      <c r="DJ29" s="628">
        <f ca="1">IF(AND($D29="Serviço",DJ$12&lt;&gt;0,$H29&gt;0,OR(AUTOEVENTO&lt;&gt;"manual",$M29&lt;&gt;1)),ROUND(OFFSET($P29,0,DJ$13),15-13*ORÇAMENTO!$AF$7)/$H29*OFFSET(ORÇAMENTO!$X$15,ROW(DJ29)-ROW(DJ$15),0),0)</f>
        <v>0</v>
      </c>
      <c r="DK29" s="628">
        <f ca="1">IF(AND($D29="Serviço",DK$12&lt;&gt;0,$H29&gt;0,OR(AUTOEVENTO&lt;&gt;"manual",$M29&lt;&gt;1)),ROUND(OFFSET($P29,0,DK$13),15-13*ORÇAMENTO!$AF$7)/$H29*OFFSET(ORÇAMENTO!$X$15,ROW(DK29)-ROW(DK$15),0),0)</f>
        <v>0</v>
      </c>
      <c r="DL29" s="628">
        <f ca="1">IF(AND($D29="Serviço",DL$12&lt;&gt;0,$H29&gt;0,OR(AUTOEVENTO&lt;&gt;"manual",$M29&lt;&gt;1)),ROUND(OFFSET($P29,0,DL$13),15-13*ORÇAMENTO!$AF$7)/$H29*OFFSET(ORÇAMENTO!$X$15,ROW(DL29)-ROW(DL$15),0),0)</f>
        <v>0</v>
      </c>
      <c r="DM29" s="629">
        <f ca="1">IF(AND($D29="Serviço",DM$12&lt;&gt;0,$H29&gt;0,OR(AUTOEVENTO&lt;&gt;"manual",$M29&lt;&gt;1)),ROUND(OFFSET($P29,0,DM$13),15-13*ORÇAMENTO!$AF$7)/$H29*OFFSET(ORÇAMENTO!$X$15,ROW(DM29)-ROW(DM$15),0),0)</f>
        <v>0</v>
      </c>
      <c r="DO29" s="211">
        <f ca="1">IF($D29&lt;&gt;"Serviço",0,IF(AND(AUTOEVENTO="Manual",$M29=1),0,IF(OFFSET(CRONOPLE!$F$14,$M29,DO$13)="",10^12,OFFSET(CRONOPLE!$F$14,$M29,DO$13))))</f>
        <v>1</v>
      </c>
      <c r="DP29" s="211">
        <f ca="1">IF($D29&lt;&gt;"Serviço",0,IF(AND(AUTOEVENTO="Manual",$M29=1),0,IF(OFFSET(CRONOPLE!$F$14,$M29,DP$13)="",10^12,OFFSET(CRONOPLE!$F$14,$M29,DP$13))))</f>
        <v>3</v>
      </c>
      <c r="DQ29" s="211">
        <f ca="1">IF($D29&lt;&gt;"Serviço",0,IF(AND(AUTOEVENTO="Manual",$M29=1),0,IF(OFFSET(CRONOPLE!$F$14,$M29,DQ$13)="",10^12,OFFSET(CRONOPLE!$F$14,$M29,DQ$13))))</f>
        <v>3</v>
      </c>
      <c r="DR29" s="211">
        <f ca="1">IF($D29&lt;&gt;"Serviço",0,IF(AND(AUTOEVENTO="Manual",$M29=1),0,IF(OFFSET(CRONOPLE!$F$14,$M29,DR$13)="",10^12,OFFSET(CRONOPLE!$F$14,$M29,DR$13))))</f>
        <v>1000000000000</v>
      </c>
      <c r="DS29" s="211">
        <f ca="1">IF($D29&lt;&gt;"Serviço",0,IF(AND(AUTOEVENTO="Manual",$M29=1),0,IF(OFFSET(CRONOPLE!$F$14,$M29,DS$13)="",10^12,OFFSET(CRONOPLE!$F$14,$M29,DS$13))))</f>
        <v>1000000000000</v>
      </c>
      <c r="DT29" s="211">
        <f ca="1">IF($D29&lt;&gt;"Serviço",0,IF(AND(AUTOEVENTO="Manual",$M29=1),0,IF(OFFSET(CRONOPLE!$F$14,$M29,DT$13)="",10^12,OFFSET(CRONOPLE!$F$14,$M29,DT$13))))</f>
        <v>1000000000000</v>
      </c>
      <c r="DU29" s="211">
        <f ca="1">IF($D29&lt;&gt;"Serviço",0,IF(AND(AUTOEVENTO="Manual",$M29=1),0,IF(OFFSET(CRONOPLE!$F$14,$M29,DU$13)="",10^12,OFFSET(CRONOPLE!$F$14,$M29,DU$13))))</f>
        <v>1000000000000</v>
      </c>
      <c r="DV29" s="211">
        <f ca="1">IF($D29&lt;&gt;"Serviço",0,IF(AND(AUTOEVENTO="Manual",$M29=1),0,IF(OFFSET(CRONOPLE!$F$14,$M29,DV$13)="",10^12,OFFSET(CRONOPLE!$F$14,$M29,DV$13))))</f>
        <v>1000000000000</v>
      </c>
      <c r="DW29" s="211">
        <f ca="1">IF($D29&lt;&gt;"Serviço",0,IF(AND(AUTOEVENTO="Manual",$M29=1),0,IF(OFFSET(CRONOPLE!$F$14,$M29,DW$13)="",10^12,OFFSET(CRONOPLE!$F$14,$M29,DW$13))))</f>
        <v>1000000000000</v>
      </c>
      <c r="DX29" s="211">
        <f ca="1">IF($D29&lt;&gt;"Serviço",0,IF(AND(AUTOEVENTO="Manual",$M29=1),0,IF(OFFSET(CRONOPLE!$F$14,$M29,DX$13)="",10^12,OFFSET(CRONOPLE!$F$14,$M29,DX$13))))</f>
        <v>1000000000000</v>
      </c>
      <c r="DY29" s="211">
        <f ca="1">IF($D29&lt;&gt;"Serviço",0,IF(AND(AUTOEVENTO="Manual",$M29=1),0,IF(OFFSET(CRONOPLE!$F$14,$M29,DY$13)="",10^12,OFFSET(CRONOPLE!$F$14,$M29,DY$13))))</f>
        <v>1000000000000</v>
      </c>
      <c r="DZ29" s="211">
        <f ca="1">IF($D29&lt;&gt;"Serviço",0,IF(AND(AUTOEVENTO="Manual",$M29=1),0,IF(OFFSET(CRONOPLE!$F$14,$M29,DZ$13)="",10^12,OFFSET(CRONOPLE!$F$14,$M29,DZ$13))))</f>
        <v>1000000000000</v>
      </c>
      <c r="EA29" s="211">
        <f ca="1">IF($D29&lt;&gt;"Serviço",0,IF(AND(AUTOEVENTO="Manual",$M29=1),0,IF(OFFSET(CRONOPLE!$F$14,$M29,EA$13)="",10^12,OFFSET(CRONOPLE!$F$14,$M29,EA$13))))</f>
        <v>1000000000000</v>
      </c>
      <c r="EB29" s="211">
        <f ca="1">IF($D29&lt;&gt;"Serviço",0,IF(AND(AUTOEVENTO="Manual",$M29=1),0,IF(OFFSET(CRONOPLE!$F$14,$M29,EB$13)="",10^12,OFFSET(CRONOPLE!$F$14,$M29,EB$13))))</f>
        <v>1000000000000</v>
      </c>
      <c r="EC29" s="211">
        <f ca="1">IF($D29&lt;&gt;"Serviço",0,IF(AND(AUTOEVENTO="Manual",$M29=1),0,IF(OFFSET(CRONOPLE!$F$14,$M29,EC$13)="",10^12,OFFSET(CRONOPLE!$F$14,$M29,EC$13))))</f>
        <v>1000000000000</v>
      </c>
      <c r="ED29" s="211">
        <f ca="1">IF($D29&lt;&gt;"Serviço",0,IF(AND(AUTOEVENTO="Manual",$M29=1),0,IF(OFFSET(CRONOPLE!$F$14,$M29,ED$13)="",10^12,OFFSET(CRONOPLE!$F$14,$M29,ED$13))))</f>
        <v>1000000000000</v>
      </c>
      <c r="EE29" s="211">
        <f ca="1">IF($D29&lt;&gt;"Serviço",0,IF(AND(AUTOEVENTO="Manual",$M29=1),0,IF(OFFSET(CRONOPLE!$F$14,$M29,EE$13)="",10^12,OFFSET(CRONOPLE!$F$14,$M29,EE$13))))</f>
        <v>1000000000000</v>
      </c>
      <c r="EF29" s="211">
        <f ca="1">IF($D29&lt;&gt;"Serviço",0,IF(AND(AUTOEVENTO="Manual",$M29=1),0,IF(OFFSET(CRONOPLE!$F$14,$M29,EF$13)="",10^12,OFFSET(CRONOPLE!$F$14,$M29,EF$13))))</f>
        <v>1000000000000</v>
      </c>
      <c r="EG29" s="211">
        <f ca="1">IF($D29&lt;&gt;"Serviço",0,IF(AND(AUTOEVENTO="Manual",$M29=1),0,IF(OFFSET(CRONOPLE!$F$14,$M29,EG$13)="",10^12,OFFSET(CRONOPLE!$F$14,$M29,EG$13))))</f>
        <v>1000000000000</v>
      </c>
      <c r="EH29" s="211">
        <f ca="1">IF($D29&lt;&gt;"Serviço",0,IF(AND(AUTOEVENTO="Manual",$M29=1),0,IF(OFFSET(CRONOPLE!$F$14,$M29,EH$13)="",10^12,OFFSET(CRONOPLE!$F$14,$M29,EH$13))))</f>
        <v>1000000000000</v>
      </c>
      <c r="EI29" s="211">
        <f ca="1">IF($D29&lt;&gt;"Serviço",0,IF(AND(AUTOEVENTO="Manual",$M29=1),0,IF(OFFSET(CRONOPLE!$F$14,$M29,EI$13)="",10^12,OFFSET(CRONOPLE!$F$14,$M29,EI$13))))</f>
        <v>1000000000000</v>
      </c>
      <c r="EJ29" s="211">
        <f ca="1">IF($D29&lt;&gt;"Serviço",0,IF(AND(AUTOEVENTO="Manual",$M29=1),0,IF(OFFSET(CRONOPLE!$F$14,$M29,EJ$13)="",10^12,OFFSET(CRONOPLE!$F$14,$M29,EJ$13))))</f>
        <v>1000000000000</v>
      </c>
      <c r="EK29" s="211">
        <f ca="1">IF($D29&lt;&gt;"Serviço",0,IF(AND(AUTOEVENTO="Manual",$M29=1),0,IF(OFFSET(CRONOPLE!$F$14,$M29,EK$13)="",10^12,OFFSET(CRONOPLE!$F$14,$M29,EK$13))))</f>
        <v>1000000000000</v>
      </c>
      <c r="EL29" s="211">
        <f ca="1">IF($D29&lt;&gt;"Serviço",0,IF(AND(AUTOEVENTO="Manual",$M29=1),0,IF(OFFSET(CRONOPLE!$F$14,$M29,EL$13)="",10^12,OFFSET(CRONOPLE!$F$14,$M29,EL$13))))</f>
        <v>1000000000000</v>
      </c>
      <c r="EM29" s="211">
        <f ca="1">IF($D29&lt;&gt;"Serviço",0,IF(AND(AUTOEVENTO="Manual",$M29=1),0,IF(OFFSET(CRONOPLE!$F$14,$M29,EM$13)="",10^12,OFFSET(CRONOPLE!$F$14,$M29,EM$13))))</f>
        <v>1000000000000</v>
      </c>
      <c r="EN29" s="211">
        <f ca="1">IF($D29&lt;&gt;"Serviço",0,IF(AND(AUTOEVENTO="Manual",$M29=1),0,IF(OFFSET(CRONOPLE!$F$14,$M29,EN$13)="",10^12,OFFSET(CRONOPLE!$F$14,$M29,EN$13))))</f>
        <v>1000000000000</v>
      </c>
      <c r="EO29" s="211">
        <f ca="1">IF($D29&lt;&gt;"Serviço",0,IF(AND(AUTOEVENTO="Manual",$M29=1),0,IF(OFFSET(CRONOPLE!$F$14,$M29,EO$13)="",10^12,OFFSET(CRONOPLE!$F$14,$M29,EO$13))))</f>
        <v>1000000000000</v>
      </c>
      <c r="EP29" s="211">
        <f ca="1">IF($D29&lt;&gt;"Serviço",0,IF(AND(AUTOEVENTO="Manual",$M29=1),0,IF(OFFSET(CRONOPLE!$F$14,$M29,EP$13)="",10^12,OFFSET(CRONOPLE!$F$14,$M29,EP$13))))</f>
        <v>1000000000000</v>
      </c>
      <c r="EQ29" s="211">
        <f ca="1">IF($D29&lt;&gt;"Serviço",0,IF(AND(AUTOEVENTO="Manual",$M29=1),0,IF(OFFSET(CRONOPLE!$F$14,$M29,EQ$13)="",10^12,OFFSET(CRONOPLE!$F$14,$M29,EQ$13))))</f>
        <v>1000000000000</v>
      </c>
      <c r="ER29" s="211">
        <f ca="1">IF($D29&lt;&gt;"Serviço",0,IF(AND(AUTOEVENTO="Manual",$M29=1),0,IF(OFFSET(CRONOPLE!$F$14,$M29,ER$13)="",10^12,OFFSET(CRONOPLE!$F$14,$M29,ER$13))))</f>
        <v>1000000000000</v>
      </c>
      <c r="ES29" s="211">
        <f ca="1">IF($D29&lt;&gt;"Serviço",0,IF(AND(AUTOEVENTO="Manual",$M29=1),0,IF(OFFSET(CRONOPLE!$F$14,$M29,ES$13)="",10^12,OFFSET(CRONOPLE!$F$14,$M29,ES$13))))</f>
        <v>1000000000000</v>
      </c>
      <c r="ET29" s="211">
        <f ca="1">IF($D29&lt;&gt;"Serviço",0,IF(AND(AUTOEVENTO="Manual",$M29=1),0,IF(OFFSET(CRONOPLE!$F$14,$M29,ET$13)="",10^12,OFFSET(CRONOPLE!$F$14,$M29,ET$13))))</f>
        <v>1000000000000</v>
      </c>
      <c r="EU29" s="211">
        <f ca="1">IF($D29&lt;&gt;"Serviço",0,IF(AND(AUTOEVENTO="Manual",$M29=1),0,IF(OFFSET(CRONOPLE!$F$14,$M29,EU$13)="",10^12,OFFSET(CRONOPLE!$F$14,$M29,EU$13))))</f>
        <v>1000000000000</v>
      </c>
      <c r="EV29" s="211">
        <f ca="1">IF($D29&lt;&gt;"Serviço",0,IF(AND(AUTOEVENTO="Manual",$M29=1),0,IF(OFFSET(CRONOPLE!$F$14,$M29,EV$13)="",10^12,OFFSET(CRONOPLE!$F$14,$M29,EV$13))))</f>
        <v>1000000000000</v>
      </c>
      <c r="EW29" s="211">
        <f ca="1">IF($D29&lt;&gt;"Serviço",0,IF(AND(AUTOEVENTO="Manual",$M29=1),0,IF(OFFSET(CRONOPLE!$F$14,$M29,EW$13)="",10^12,OFFSET(CRONOPLE!$F$14,$M29,EW$13))))</f>
        <v>1000000000000</v>
      </c>
      <c r="EX29" s="211">
        <f ca="1">IF($D29&lt;&gt;"Serviço",0,IF(AND(AUTOEVENTO="Manual",$M29=1),0,IF(OFFSET(CRONOPLE!$F$14,$M29,EX$13)="",10^12,OFFSET(CRONOPLE!$F$14,$M29,EX$13))))</f>
        <v>1000000000000</v>
      </c>
      <c r="EY29" s="211">
        <f ca="1">IF($D29&lt;&gt;"Serviço",0,IF(AND(AUTOEVENTO="Manual",$M29=1),0,IF(OFFSET(CRONOPLE!$F$14,$M29,EY$13)="",10^12,OFFSET(CRONOPLE!$F$14,$M29,EY$13))))</f>
        <v>1000000000000</v>
      </c>
      <c r="EZ29" s="211">
        <f ca="1">IF($D29&lt;&gt;"Serviço",0,IF(AND(AUTOEVENTO="Manual",$M29=1),0,IF(OFFSET(CRONOPLE!$F$14,$M29,EZ$13)="",10^12,OFFSET(CRONOPLE!$F$14,$M29,EZ$13))))</f>
        <v>1000000000000</v>
      </c>
      <c r="FA29" s="211">
        <f ca="1">IF($D29&lt;&gt;"Serviço",0,IF(AND(AUTOEVENTO="Manual",$M29=1),0,IF(OFFSET(CRONOPLE!$F$14,$M29,FA$13)="",10^12,OFFSET(CRONOPLE!$F$14,$M29,FA$13))))</f>
        <v>1000000000000</v>
      </c>
      <c r="FB29" s="211">
        <f ca="1">IF($D29&lt;&gt;"Serviço",0,IF(AND(AUTOEVENTO="Manual",$M29=1),0,IF(OFFSET(CRONOPLE!$F$14,$M29,FB$13)="",10^12,OFFSET(CRONOPLE!$F$14,$M29,FB$13))))</f>
        <v>1000000000000</v>
      </c>
      <c r="FC29" s="211">
        <f ca="1">IF($D29&lt;&gt;"Serviço",0,IF(AND(AUTOEVENTO="Manual",$M29=1),0,IF(OFFSET(CRONOPLE!$F$14,$M29,FC$13)="",10^12,OFFSET(CRONOPLE!$F$14,$M29,FC$13))))</f>
        <v>1000000000000</v>
      </c>
      <c r="FD29" s="211">
        <f ca="1">IF($D29&lt;&gt;"Serviço",0,IF(AND(AUTOEVENTO="Manual",$M29=1),0,IF(OFFSET(CRONOPLE!$F$14,$M29,FD$13)="",10^12,OFFSET(CRONOPLE!$F$14,$M29,FD$13))))</f>
        <v>1000000000000</v>
      </c>
      <c r="FE29" s="211">
        <f ca="1">IF($D29&lt;&gt;"Serviço",0,IF(AND(AUTOEVENTO="Manual",$M29=1),0,IF(OFFSET(CRONOPLE!$F$14,$M29,FE$13)="",10^12,OFFSET(CRONOPLE!$F$14,$M29,FE$13))))</f>
        <v>1000000000000</v>
      </c>
      <c r="FF29" s="211">
        <f ca="1">IF($D29&lt;&gt;"Serviço",0,IF(AND(AUTOEVENTO="Manual",$M29=1),0,IF(OFFSET(CRONOPLE!$F$14,$M29,FF$13)="",10^12,OFFSET(CRONOPLE!$F$14,$M29,FF$13))))</f>
        <v>1000000000000</v>
      </c>
      <c r="FG29" s="211">
        <f ca="1">IF($D29&lt;&gt;"Serviço",0,IF(AND(AUTOEVENTO="Manual",$M29=1),0,IF(OFFSET(CRONOPLE!$F$14,$M29,FG$13)="",10^12,OFFSET(CRONOPLE!$F$14,$M29,FG$13))))</f>
        <v>1000000000000</v>
      </c>
      <c r="FH29" s="211">
        <f ca="1">IF($D29&lt;&gt;"Serviço",0,IF(AND(AUTOEVENTO="Manual",$M29=1),0,IF(OFFSET(CRONOPLE!$F$14,$M29,FH$13)="",10^12,OFFSET(CRONOPLE!$F$14,$M29,FH$13))))</f>
        <v>1000000000000</v>
      </c>
      <c r="FI29" s="211">
        <f ca="1">IF($D29&lt;&gt;"Serviço",0,IF(AND(AUTOEVENTO="Manual",$M29=1),0,IF(OFFSET(CRONOPLE!$F$14,$M29,FI$13)="",10^12,OFFSET(CRONOPLE!$F$14,$M29,FI$13))))</f>
        <v>1000000000000</v>
      </c>
      <c r="FJ29" s="211">
        <f ca="1">IF($D29&lt;&gt;"Serviço",0,IF(AND(AUTOEVENTO="Manual",$M29=1),0,IF(OFFSET(CRONOPLE!$F$14,$M29,FJ$13)="",10^12,OFFSET(CRONOPLE!$F$14,$M29,FJ$13))))</f>
        <v>1000000000000</v>
      </c>
      <c r="FK29" s="211">
        <f ca="1">IF($D29&lt;&gt;"Serviço",0,IF(AND(AUTOEVENTO="Manual",$M29=1),0,IF(OFFSET(CRONOPLE!$F$14,$M29,FK$13)="",10^12,OFFSET(CRONOPLE!$F$14,$M29,FK$13))))</f>
        <v>1000000000000</v>
      </c>
      <c r="FL29" s="211">
        <f ca="1">IF($D29&lt;&gt;"Serviço",0,IF(AND(AUTOEVENTO="Manual",$M29=1),0,IF(OFFSET(CRONOPLE!$F$14,$M29,FL$13)="",10^12,OFFSET(CRONOPLE!$F$14,$M29,FL$13))))</f>
        <v>1000000000000</v>
      </c>
      <c r="FN29" s="212">
        <f ca="1">IF($D29&lt;&gt;"Serviço",0,IF(OR(AND(AUTOEVENTO="Manual",$M29=1),$M29&gt;(ROW(PLE.lastrow)-ROW(PLE.firstrow))),0,IF(OFFSET(PLE!$G$14,$M29,FN$13)="",10^12,OFFSET(PLE!$G$14,$M29,FN$13))))</f>
        <v>1000000000000</v>
      </c>
      <c r="FO29" s="212">
        <f ca="1">IF($D29&lt;&gt;"Serviço",0,IF(OR(AND(AUTOEVENTO="Manual",$M29=1),$M29&gt;(ROW(PLE.lastrow)-ROW(PLE.firstrow))),0,IF(OFFSET(PLE!$G$14,$M29,FO$13)="",10^12,OFFSET(PLE!$G$14,$M29,FO$13))))</f>
        <v>1000000000000</v>
      </c>
      <c r="FP29" s="212">
        <f ca="1">IF($D29&lt;&gt;"Serviço",0,IF(OR(AND(AUTOEVENTO="Manual",$M29=1),$M29&gt;(ROW(PLE.lastrow)-ROW(PLE.firstrow))),0,IF(OFFSET(PLE!$G$14,$M29,FP$13)="",10^12,OFFSET(PLE!$G$14,$M29,FP$13))))</f>
        <v>1000000000000</v>
      </c>
      <c r="FQ29" s="212">
        <f ca="1">IF($D29&lt;&gt;"Serviço",0,IF(OR(AND(AUTOEVENTO="Manual",$M29=1),$M29&gt;(ROW(PLE.lastrow)-ROW(PLE.firstrow))),0,IF(OFFSET(PLE!$G$14,$M29,FQ$13)="",10^12,OFFSET(PLE!$G$14,$M29,FQ$13))))</f>
        <v>1000000000000</v>
      </c>
      <c r="FR29" s="212">
        <f ca="1">IF($D29&lt;&gt;"Serviço",0,IF(OR(AND(AUTOEVENTO="Manual",$M29=1),$M29&gt;(ROW(PLE.lastrow)-ROW(PLE.firstrow))),0,IF(OFFSET(PLE!$G$14,$M29,FR$13)="",10^12,OFFSET(PLE!$G$14,$M29,FR$13))))</f>
        <v>1000000000000</v>
      </c>
      <c r="FS29" s="212">
        <f ca="1">IF($D29&lt;&gt;"Serviço",0,IF(OR(AND(AUTOEVENTO="Manual",$M29=1),$M29&gt;(ROW(PLE.lastrow)-ROW(PLE.firstrow))),0,IF(OFFSET(PLE!$G$14,$M29,FS$13)="",10^12,OFFSET(PLE!$G$14,$M29,FS$13))))</f>
        <v>1000000000000</v>
      </c>
      <c r="FT29" s="212">
        <f ca="1">IF($D29&lt;&gt;"Serviço",0,IF(OR(AND(AUTOEVENTO="Manual",$M29=1),$M29&gt;(ROW(PLE.lastrow)-ROW(PLE.firstrow))),0,IF(OFFSET(PLE!$G$14,$M29,FT$13)="",10^12,OFFSET(PLE!$G$14,$M29,FT$13))))</f>
        <v>1000000000000</v>
      </c>
      <c r="FU29" s="212">
        <f ca="1">IF($D29&lt;&gt;"Serviço",0,IF(OR(AND(AUTOEVENTO="Manual",$M29=1),$M29&gt;(ROW(PLE.lastrow)-ROW(PLE.firstrow))),0,IF(OFFSET(PLE!$G$14,$M29,FU$13)="",10^12,OFFSET(PLE!$G$14,$M29,FU$13))))</f>
        <v>1000000000000</v>
      </c>
      <c r="FV29" s="212">
        <f ca="1">IF($D29&lt;&gt;"Serviço",0,IF(OR(AND(AUTOEVENTO="Manual",$M29=1),$M29&gt;(ROW(PLE.lastrow)-ROW(PLE.firstrow))),0,IF(OFFSET(PLE!$G$14,$M29,FV$13)="",10^12,OFFSET(PLE!$G$14,$M29,FV$13))))</f>
        <v>1000000000000</v>
      </c>
      <c r="FW29" s="212">
        <f ca="1">IF($D29&lt;&gt;"Serviço",0,IF(OR(AND(AUTOEVENTO="Manual",$M29=1),$M29&gt;(ROW(PLE.lastrow)-ROW(PLE.firstrow))),0,IF(OFFSET(PLE!$G$14,$M29,FW$13)="",10^12,OFFSET(PLE!$G$14,$M29,FW$13))))</f>
        <v>1000000000000</v>
      </c>
      <c r="FX29" s="212">
        <f ca="1">IF($D29&lt;&gt;"Serviço",0,IF(OR(AND(AUTOEVENTO="Manual",$M29=1),$M29&gt;(ROW(PLE.lastrow)-ROW(PLE.firstrow))),0,IF(OFFSET(PLE!$G$14,$M29,FX$13)="",10^12,OFFSET(PLE!$G$14,$M29,FX$13))))</f>
        <v>1000000000000</v>
      </c>
      <c r="FY29" s="212">
        <f ca="1">IF($D29&lt;&gt;"Serviço",0,IF(OR(AND(AUTOEVENTO="Manual",$M29=1),$M29&gt;(ROW(PLE.lastrow)-ROW(PLE.firstrow))),0,IF(OFFSET(PLE!$G$14,$M29,FY$13)="",10^12,OFFSET(PLE!$G$14,$M29,FY$13))))</f>
        <v>1000000000000</v>
      </c>
      <c r="FZ29" s="212">
        <f ca="1">IF($D29&lt;&gt;"Serviço",0,IF(OR(AND(AUTOEVENTO="Manual",$M29=1),$M29&gt;(ROW(PLE.lastrow)-ROW(PLE.firstrow))),0,IF(OFFSET(PLE!$G$14,$M29,FZ$13)="",10^12,OFFSET(PLE!$G$14,$M29,FZ$13))))</f>
        <v>1000000000000</v>
      </c>
      <c r="GA29" s="212">
        <f ca="1">IF($D29&lt;&gt;"Serviço",0,IF(OR(AND(AUTOEVENTO="Manual",$M29=1),$M29&gt;(ROW(PLE.lastrow)-ROW(PLE.firstrow))),0,IF(OFFSET(PLE!$G$14,$M29,GA$13)="",10^12,OFFSET(PLE!$G$14,$M29,GA$13))))</f>
        <v>1000000000000</v>
      </c>
      <c r="GB29" s="212">
        <f ca="1">IF($D29&lt;&gt;"Serviço",0,IF(OR(AND(AUTOEVENTO="Manual",$M29=1),$M29&gt;(ROW(PLE.lastrow)-ROW(PLE.firstrow))),0,IF(OFFSET(PLE!$G$14,$M29,GB$13)="",10^12,OFFSET(PLE!$G$14,$M29,GB$13))))</f>
        <v>1000000000000</v>
      </c>
      <c r="GC29" s="212">
        <f ca="1">IF($D29&lt;&gt;"Serviço",0,IF(OR(AND(AUTOEVENTO="Manual",$M29=1),$M29&gt;(ROW(PLE.lastrow)-ROW(PLE.firstrow))),0,IF(OFFSET(PLE!$G$14,$M29,GC$13)="",10^12,OFFSET(PLE!$G$14,$M29,GC$13))))</f>
        <v>1000000000000</v>
      </c>
      <c r="GD29" s="212">
        <f ca="1">IF($D29&lt;&gt;"Serviço",0,IF(OR(AND(AUTOEVENTO="Manual",$M29=1),$M29&gt;(ROW(PLE.lastrow)-ROW(PLE.firstrow))),0,IF(OFFSET(PLE!$G$14,$M29,GD$13)="",10^12,OFFSET(PLE!$G$14,$M29,GD$13))))</f>
        <v>1000000000000</v>
      </c>
      <c r="GE29" s="212">
        <f ca="1">IF($D29&lt;&gt;"Serviço",0,IF(OR(AND(AUTOEVENTO="Manual",$M29=1),$M29&gt;(ROW(PLE.lastrow)-ROW(PLE.firstrow))),0,IF(OFFSET(PLE!$G$14,$M29,GE$13)="",10^12,OFFSET(PLE!$G$14,$M29,GE$13))))</f>
        <v>1000000000000</v>
      </c>
      <c r="GF29" s="212">
        <f ca="1">IF($D29&lt;&gt;"Serviço",0,IF(OR(AND(AUTOEVENTO="Manual",$M29=1),$M29&gt;(ROW(PLE.lastrow)-ROW(PLE.firstrow))),0,IF(OFFSET(PLE!$G$14,$M29,GF$13)="",10^12,OFFSET(PLE!$G$14,$M29,GF$13))))</f>
        <v>1000000000000</v>
      </c>
      <c r="GG29" s="212">
        <f ca="1">IF($D29&lt;&gt;"Serviço",0,IF(OR(AND(AUTOEVENTO="Manual",$M29=1),$M29&gt;(ROW(PLE.lastrow)-ROW(PLE.firstrow))),0,IF(OFFSET(PLE!$G$14,$M29,GG$13)="",10^12,OFFSET(PLE!$G$14,$M29,GG$13))))</f>
        <v>1000000000000</v>
      </c>
      <c r="GH29" s="212">
        <f ca="1">IF($D29&lt;&gt;"Serviço",0,IF(OR(AND(AUTOEVENTO="Manual",$M29=1),$M29&gt;(ROW(PLE.lastrow)-ROW(PLE.firstrow))),0,IF(OFFSET(PLE!$G$14,$M29,GH$13)="",10^12,OFFSET(PLE!$G$14,$M29,GH$13))))</f>
        <v>1000000000000</v>
      </c>
      <c r="GI29" s="212">
        <f ca="1">IF($D29&lt;&gt;"Serviço",0,IF(OR(AND(AUTOEVENTO="Manual",$M29=1),$M29&gt;(ROW(PLE.lastrow)-ROW(PLE.firstrow))),0,IF(OFFSET(PLE!$G$14,$M29,GI$13)="",10^12,OFFSET(PLE!$G$14,$M29,GI$13))))</f>
        <v>1000000000000</v>
      </c>
      <c r="GJ29" s="212">
        <f ca="1">IF($D29&lt;&gt;"Serviço",0,IF(OR(AND(AUTOEVENTO="Manual",$M29=1),$M29&gt;(ROW(PLE.lastrow)-ROW(PLE.firstrow))),0,IF(OFFSET(PLE!$G$14,$M29,GJ$13)="",10^12,OFFSET(PLE!$G$14,$M29,GJ$13))))</f>
        <v>1000000000000</v>
      </c>
      <c r="GK29" s="212">
        <f ca="1">IF($D29&lt;&gt;"Serviço",0,IF(OR(AND(AUTOEVENTO="Manual",$M29=1),$M29&gt;(ROW(PLE.lastrow)-ROW(PLE.firstrow))),0,IF(OFFSET(PLE!$G$14,$M29,GK$13)="",10^12,OFFSET(PLE!$G$14,$M29,GK$13))))</f>
        <v>1000000000000</v>
      </c>
      <c r="GL29" s="212">
        <f ca="1">IF($D29&lt;&gt;"Serviço",0,IF(OR(AND(AUTOEVENTO="Manual",$M29=1),$M29&gt;(ROW(PLE.lastrow)-ROW(PLE.firstrow))),0,IF(OFFSET(PLE!$G$14,$M29,GL$13)="",10^12,OFFSET(PLE!$G$14,$M29,GL$13))))</f>
        <v>1000000000000</v>
      </c>
      <c r="GM29" s="212">
        <f ca="1">IF($D29&lt;&gt;"Serviço",0,IF(OR(AND(AUTOEVENTO="Manual",$M29=1),$M29&gt;(ROW(PLE.lastrow)-ROW(PLE.firstrow))),0,IF(OFFSET(PLE!$G$14,$M29,GM$13)="",10^12,OFFSET(PLE!$G$14,$M29,GM$13))))</f>
        <v>1000000000000</v>
      </c>
      <c r="GN29" s="212">
        <f ca="1">IF($D29&lt;&gt;"Serviço",0,IF(OR(AND(AUTOEVENTO="Manual",$M29=1),$M29&gt;(ROW(PLE.lastrow)-ROW(PLE.firstrow))),0,IF(OFFSET(PLE!$G$14,$M29,GN$13)="",10^12,OFFSET(PLE!$G$14,$M29,GN$13))))</f>
        <v>1000000000000</v>
      </c>
      <c r="GO29" s="212">
        <f ca="1">IF($D29&lt;&gt;"Serviço",0,IF(OR(AND(AUTOEVENTO="Manual",$M29=1),$M29&gt;(ROW(PLE.lastrow)-ROW(PLE.firstrow))),0,IF(OFFSET(PLE!$G$14,$M29,GO$13)="",10^12,OFFSET(PLE!$G$14,$M29,GO$13))))</f>
        <v>1000000000000</v>
      </c>
      <c r="GP29" s="212">
        <f ca="1">IF($D29&lt;&gt;"Serviço",0,IF(OR(AND(AUTOEVENTO="Manual",$M29=1),$M29&gt;(ROW(PLE.lastrow)-ROW(PLE.firstrow))),0,IF(OFFSET(PLE!$G$14,$M29,GP$13)="",10^12,OFFSET(PLE!$G$14,$M29,GP$13))))</f>
        <v>1000000000000</v>
      </c>
      <c r="GQ29" s="212">
        <f ca="1">IF($D29&lt;&gt;"Serviço",0,IF(OR(AND(AUTOEVENTO="Manual",$M29=1),$M29&gt;(ROW(PLE.lastrow)-ROW(PLE.firstrow))),0,IF(OFFSET(PLE!$G$14,$M29,GQ$13)="",10^12,OFFSET(PLE!$G$14,$M29,GQ$13))))</f>
        <v>1000000000000</v>
      </c>
      <c r="GR29" s="212">
        <f ca="1">IF($D29&lt;&gt;"Serviço",0,IF(OR(AND(AUTOEVENTO="Manual",$M29=1),$M29&gt;(ROW(PLE.lastrow)-ROW(PLE.firstrow))),0,IF(OFFSET(PLE!$G$14,$M29,GR$13)="",10^12,OFFSET(PLE!$G$14,$M29,GR$13))))</f>
        <v>1000000000000</v>
      </c>
      <c r="GS29" s="212">
        <f ca="1">IF($D29&lt;&gt;"Serviço",0,IF(OR(AND(AUTOEVENTO="Manual",$M29=1),$M29&gt;(ROW(PLE.lastrow)-ROW(PLE.firstrow))),0,IF(OFFSET(PLE!$G$14,$M29,GS$13)="",10^12,OFFSET(PLE!$G$14,$M29,GS$13))))</f>
        <v>1000000000000</v>
      </c>
      <c r="GT29" s="212">
        <f ca="1">IF($D29&lt;&gt;"Serviço",0,IF(OR(AND(AUTOEVENTO="Manual",$M29=1),$M29&gt;(ROW(PLE.lastrow)-ROW(PLE.firstrow))),0,IF(OFFSET(PLE!$G$14,$M29,GT$13)="",10^12,OFFSET(PLE!$G$14,$M29,GT$13))))</f>
        <v>1000000000000</v>
      </c>
      <c r="GU29" s="212">
        <f ca="1">IF($D29&lt;&gt;"Serviço",0,IF(OR(AND(AUTOEVENTO="Manual",$M29=1),$M29&gt;(ROW(PLE.lastrow)-ROW(PLE.firstrow))),0,IF(OFFSET(PLE!$G$14,$M29,GU$13)="",10^12,OFFSET(PLE!$G$14,$M29,GU$13))))</f>
        <v>1000000000000</v>
      </c>
      <c r="GV29" s="212">
        <f ca="1">IF($D29&lt;&gt;"Serviço",0,IF(OR(AND(AUTOEVENTO="Manual",$M29=1),$M29&gt;(ROW(PLE.lastrow)-ROW(PLE.firstrow))),0,IF(OFFSET(PLE!$G$14,$M29,GV$13)="",10^12,OFFSET(PLE!$G$14,$M29,GV$13))))</f>
        <v>1000000000000</v>
      </c>
      <c r="GW29" s="212">
        <f ca="1">IF($D29&lt;&gt;"Serviço",0,IF(OR(AND(AUTOEVENTO="Manual",$M29=1),$M29&gt;(ROW(PLE.lastrow)-ROW(PLE.firstrow))),0,IF(OFFSET(PLE!$G$14,$M29,GW$13)="",10^12,OFFSET(PLE!$G$14,$M29,GW$13))))</f>
        <v>1000000000000</v>
      </c>
      <c r="GX29" s="212">
        <f ca="1">IF($D29&lt;&gt;"Serviço",0,IF(OR(AND(AUTOEVENTO="Manual",$M29=1),$M29&gt;(ROW(PLE.lastrow)-ROW(PLE.firstrow))),0,IF(OFFSET(PLE!$G$14,$M29,GX$13)="",10^12,OFFSET(PLE!$G$14,$M29,GX$13))))</f>
        <v>1000000000000</v>
      </c>
      <c r="GY29" s="212">
        <f ca="1">IF($D29&lt;&gt;"Serviço",0,IF(OR(AND(AUTOEVENTO="Manual",$M29=1),$M29&gt;(ROW(PLE.lastrow)-ROW(PLE.firstrow))),0,IF(OFFSET(PLE!$G$14,$M29,GY$13)="",10^12,OFFSET(PLE!$G$14,$M29,GY$13))))</f>
        <v>1000000000000</v>
      </c>
      <c r="GZ29" s="212">
        <f ca="1">IF($D29&lt;&gt;"Serviço",0,IF(OR(AND(AUTOEVENTO="Manual",$M29=1),$M29&gt;(ROW(PLE.lastrow)-ROW(PLE.firstrow))),0,IF(OFFSET(PLE!$G$14,$M29,GZ$13)="",10^12,OFFSET(PLE!$G$14,$M29,GZ$13))))</f>
        <v>1000000000000</v>
      </c>
      <c r="HA29" s="212">
        <f ca="1">IF($D29&lt;&gt;"Serviço",0,IF(OR(AND(AUTOEVENTO="Manual",$M29=1),$M29&gt;(ROW(PLE.lastrow)-ROW(PLE.firstrow))),0,IF(OFFSET(PLE!$G$14,$M29,HA$13)="",10^12,OFFSET(PLE!$G$14,$M29,HA$13))))</f>
        <v>1000000000000</v>
      </c>
      <c r="HB29" s="212">
        <f ca="1">IF($D29&lt;&gt;"Serviço",0,IF(OR(AND(AUTOEVENTO="Manual",$M29=1),$M29&gt;(ROW(PLE.lastrow)-ROW(PLE.firstrow))),0,IF(OFFSET(PLE!$G$14,$M29,HB$13)="",10^12,OFFSET(PLE!$G$14,$M29,HB$13))))</f>
        <v>1000000000000</v>
      </c>
      <c r="HC29" s="212">
        <f ca="1">IF($D29&lt;&gt;"Serviço",0,IF(OR(AND(AUTOEVENTO="Manual",$M29=1),$M29&gt;(ROW(PLE.lastrow)-ROW(PLE.firstrow))),0,IF(OFFSET(PLE!$G$14,$M29,HC$13)="",10^12,OFFSET(PLE!$G$14,$M29,HC$13))))</f>
        <v>1000000000000</v>
      </c>
      <c r="HD29" s="212">
        <f ca="1">IF($D29&lt;&gt;"Serviço",0,IF(OR(AND(AUTOEVENTO="Manual",$M29=1),$M29&gt;(ROW(PLE.lastrow)-ROW(PLE.firstrow))),0,IF(OFFSET(PLE!$G$14,$M29,HD$13)="",10^12,OFFSET(PLE!$G$14,$M29,HD$13))))</f>
        <v>1000000000000</v>
      </c>
      <c r="HE29" s="212">
        <f ca="1">IF($D29&lt;&gt;"Serviço",0,IF(OR(AND(AUTOEVENTO="Manual",$M29=1),$M29&gt;(ROW(PLE.lastrow)-ROW(PLE.firstrow))),0,IF(OFFSET(PLE!$G$14,$M29,HE$13)="",10^12,OFFSET(PLE!$G$14,$M29,HE$13))))</f>
        <v>1000000000000</v>
      </c>
      <c r="HF29" s="212">
        <f ca="1">IF($D29&lt;&gt;"Serviço",0,IF(OR(AND(AUTOEVENTO="Manual",$M29=1),$M29&gt;(ROW(PLE.lastrow)-ROW(PLE.firstrow))),0,IF(OFFSET(PLE!$G$14,$M29,HF$13)="",10^12,OFFSET(PLE!$G$14,$M29,HF$13))))</f>
        <v>1000000000000</v>
      </c>
      <c r="HG29" s="212">
        <f ca="1">IF($D29&lt;&gt;"Serviço",0,IF(OR(AND(AUTOEVENTO="Manual",$M29=1),$M29&gt;(ROW(PLE.lastrow)-ROW(PLE.firstrow))),0,IF(OFFSET(PLE!$G$14,$M29,HG$13)="",10^12,OFFSET(PLE!$G$14,$M29,HG$13))))</f>
        <v>1000000000000</v>
      </c>
      <c r="HH29" s="212">
        <f ca="1">IF($D29&lt;&gt;"Serviço",0,IF(OR(AND(AUTOEVENTO="Manual",$M29=1),$M29&gt;(ROW(PLE.lastrow)-ROW(PLE.firstrow))),0,IF(OFFSET(PLE!$G$14,$M29,HH$13)="",10^12,OFFSET(PLE!$G$14,$M29,HH$13))))</f>
        <v>1000000000000</v>
      </c>
      <c r="HI29" s="212">
        <f ca="1">IF($D29&lt;&gt;"Serviço",0,IF(OR(AND(AUTOEVENTO="Manual",$M29=1),$M29&gt;(ROW(PLE.lastrow)-ROW(PLE.firstrow))),0,IF(OFFSET(PLE!$G$14,$M29,HI$13)="",10^12,OFFSET(PLE!$G$14,$M29,HI$13))))</f>
        <v>1000000000000</v>
      </c>
      <c r="HJ29" s="212">
        <f ca="1">IF($D29&lt;&gt;"Serviço",0,IF(OR(AND(AUTOEVENTO="Manual",$M29=1),$M29&gt;(ROW(PLE.lastrow)-ROW(PLE.firstrow))),0,IF(OFFSET(PLE!$G$14,$M29,HJ$13)="",10^12,OFFSET(PLE!$G$14,$M29,HJ$13))))</f>
        <v>1000000000000</v>
      </c>
      <c r="HK29" s="212">
        <f ca="1">IF($D29&lt;&gt;"Serviço",0,IF(OR(AND(AUTOEVENTO="Manual",$M29=1),$M29&gt;(ROW(PLE.lastrow)-ROW(PLE.firstrow))),0,IF(OFFSET(PLE!$G$14,$M29,HK$13)="",10^12,OFFSET(PLE!$G$14,$M29,HK$13))))</f>
        <v>1000000000000</v>
      </c>
    </row>
    <row r="30" spans="1:219" ht="63.75" x14ac:dyDescent="0.2">
      <c r="A30" s="9" t="str">
        <f t="shared" ca="1" si="10"/>
        <v>13</v>
      </c>
      <c r="B30" s="9" t="str">
        <f ca="1">OFFSET(ORÇAMENTO!C$15,ROW(B30)-ROW(B$15),0)</f>
        <v>S</v>
      </c>
      <c r="C30" s="9" t="str">
        <f ca="1">OFFSET(ORÇAMENTO!L$15,ROW(C30)-ROW(C$15),0)</f>
        <v>F</v>
      </c>
      <c r="D30" s="141" t="str">
        <f ca="1">OFFSET(ORÇAMENTO!N$15,ROW(D30)-ROW(D$15),0)</f>
        <v>Serviço</v>
      </c>
      <c r="E30" s="201" t="str">
        <f ca="1">OFFSET(ORÇAMENTO!O$15,ROW(E30)-ROW(E$15),0)</f>
        <v>1.5.2.</v>
      </c>
      <c r="F30" s="202" t="str">
        <f ca="1">OFFSET(ORÇAMENTO!R$15,ROW(F30)-ROW(F$15),0)</f>
        <v>Suporte metálico galvanizado para placa de regulamentação - R1 - lado de 0,331 m - fornecimento e implantação</v>
      </c>
      <c r="G30" s="203" t="str">
        <f ca="1">IF($D30&lt;&gt;"Serviço","",OFFSET(ORÇAMENTO!S$15,ROW(G30)-ROW(G$15),0))</f>
        <v>Unidade</v>
      </c>
      <c r="H30" s="147">
        <f ca="1">IF($D30&lt;&gt;"Serviço",0,IF(ACOMPANHAMENTO="BM",ROUND(OFFSET(ORÇAMENTO!AJ$15,ROW(H30)-ROW(H$15),0),15-13*ORÇAMENTO!$AF$7),SUMPRODUCT(($Q$12:$BO$12&lt;&gt;"")*ROUND($Q30:$BO30,15-13*ORÇAMENTO!$AF$7))))</f>
        <v>4</v>
      </c>
      <c r="I30" s="646" t="s">
        <v>495</v>
      </c>
      <c r="K30" s="204"/>
      <c r="L30" s="205" t="s">
        <v>257</v>
      </c>
      <c r="M30" s="206">
        <f ca="1">IF($D30&lt;&gt;"Serviço","",IF(AUTOEVENTO="manual",$A30,IF(ISERROR(MATCH($A30,$A$15:OFFSET($A30,-1,0),0)),MAX($M$15:OFFSET(M30,-1,0))+1,INDEX($M$15:OFFSET(M30,-1,0),MATCH($A30,$A$15:OFFSET($A30,-1,0),0)))))</f>
        <v>6</v>
      </c>
      <c r="N30" s="207" t="str">
        <f ca="1">IF($D30&lt;&gt;"Serviço","",IF(AUTOEVENTO="Manual",IF($A30=0,"&lt;-- defina o número do agrupador",OFFSET(EVENTOS!$D$14,$A30,0)),OFFSET($F$15,$A30,0)))</f>
        <v>SINALIZAÇÃO VIÁRIA</v>
      </c>
      <c r="O30" s="208"/>
      <c r="Q30" s="208">
        <v>2</v>
      </c>
      <c r="R30" s="209"/>
      <c r="S30" s="209">
        <v>2</v>
      </c>
      <c r="T30" s="209"/>
      <c r="U30" s="209"/>
      <c r="V30" s="209"/>
      <c r="W30" s="209"/>
      <c r="X30" s="209"/>
      <c r="Y30" s="209"/>
      <c r="Z30" s="210"/>
      <c r="AA30" s="209"/>
      <c r="AB30" s="209"/>
      <c r="AC30" s="209"/>
      <c r="AD30" s="209"/>
      <c r="AE30" s="209"/>
      <c r="AF30" s="209"/>
      <c r="AG30" s="209"/>
      <c r="AH30" s="210"/>
      <c r="AI30" s="209"/>
      <c r="AJ30" s="209"/>
      <c r="AK30" s="209"/>
      <c r="AL30" s="209"/>
      <c r="AM30" s="209"/>
      <c r="AN30" s="209"/>
      <c r="AO30" s="209"/>
      <c r="AP30" s="210"/>
      <c r="AQ30" s="209"/>
      <c r="AR30" s="209"/>
      <c r="AS30" s="209"/>
      <c r="AT30" s="209"/>
      <c r="AU30" s="209"/>
      <c r="AV30" s="209"/>
      <c r="AW30" s="209"/>
      <c r="AX30" s="210"/>
      <c r="AY30" s="209"/>
      <c r="AZ30" s="209"/>
      <c r="BA30" s="209"/>
      <c r="BB30" s="209"/>
      <c r="BC30" s="209"/>
      <c r="BD30" s="209"/>
      <c r="BE30" s="209"/>
      <c r="BF30" s="210"/>
      <c r="BG30" s="209"/>
      <c r="BH30" s="209"/>
      <c r="BI30" s="209"/>
      <c r="BJ30" s="209"/>
      <c r="BK30" s="209"/>
      <c r="BL30" s="209"/>
      <c r="BM30" s="209"/>
      <c r="BN30" s="210"/>
      <c r="BP30" s="627">
        <f ca="1">IF(AND($D30="Serviço",BP$12&lt;&gt;0,$H30&gt;0,OR(AUTOEVENTO&lt;&gt;"manual",$M30&lt;&gt;1)),ROUND(OFFSET($P30,0,BP$13),15-13*ORÇAMENTO!$AF$7)/$H30*OFFSET(ORÇAMENTO!$X$15,ROW(BP30)-ROW(BP$15),0),0)</f>
        <v>1038.6400000000001</v>
      </c>
      <c r="BQ30" s="628">
        <f ca="1">IF(AND($D30="Serviço",BQ$12&lt;&gt;0,$H30&gt;0,OR(AUTOEVENTO&lt;&gt;"manual",$M30&lt;&gt;1)),ROUND(OFFSET($P30,0,BQ$13),15-13*ORÇAMENTO!$AF$7)/$H30*OFFSET(ORÇAMENTO!$X$15,ROW(BQ30)-ROW(BQ$15),0),0)</f>
        <v>0</v>
      </c>
      <c r="BR30" s="628">
        <f ca="1">IF(AND($D30="Serviço",BR$12&lt;&gt;0,$H30&gt;0,OR(AUTOEVENTO&lt;&gt;"manual",$M30&lt;&gt;1)),ROUND(OFFSET($P30,0,BR$13),15-13*ORÇAMENTO!$AF$7)/$H30*OFFSET(ORÇAMENTO!$X$15,ROW(BR30)-ROW(BR$15),0),0)</f>
        <v>1038.6400000000001</v>
      </c>
      <c r="BS30" s="628">
        <f ca="1">IF(AND($D30="Serviço",BS$12&lt;&gt;0,$H30&gt;0,OR(AUTOEVENTO&lt;&gt;"manual",$M30&lt;&gt;1)),ROUND(OFFSET($P30,0,BS$13),15-13*ORÇAMENTO!$AF$7)/$H30*OFFSET(ORÇAMENTO!$X$15,ROW(BS30)-ROW(BS$15),0),0)</f>
        <v>0</v>
      </c>
      <c r="BT30" s="628">
        <f ca="1">IF(AND($D30="Serviço",BT$12&lt;&gt;0,$H30&gt;0,OR(AUTOEVENTO&lt;&gt;"manual",$M30&lt;&gt;1)),ROUND(OFFSET($P30,0,BT$13),15-13*ORÇAMENTO!$AF$7)/$H30*OFFSET(ORÇAMENTO!$X$15,ROW(BT30)-ROW(BT$15),0),0)</f>
        <v>0</v>
      </c>
      <c r="BU30" s="628">
        <f ca="1">IF(AND($D30="Serviço",BU$12&lt;&gt;0,$H30&gt;0,OR(AUTOEVENTO&lt;&gt;"manual",$M30&lt;&gt;1)),ROUND(OFFSET($P30,0,BU$13),15-13*ORÇAMENTO!$AF$7)/$H30*OFFSET(ORÇAMENTO!$X$15,ROW(BU30)-ROW(BU$15),0),0)</f>
        <v>0</v>
      </c>
      <c r="BV30" s="628">
        <f ca="1">IF(AND($D30="Serviço",BV$12&lt;&gt;0,$H30&gt;0,OR(AUTOEVENTO&lt;&gt;"manual",$M30&lt;&gt;1)),ROUND(OFFSET($P30,0,BV$13),15-13*ORÇAMENTO!$AF$7)/$H30*OFFSET(ORÇAMENTO!$X$15,ROW(BV30)-ROW(BV$15),0),0)</f>
        <v>0</v>
      </c>
      <c r="BW30" s="628">
        <f ca="1">IF(AND($D30="Serviço",BW$12&lt;&gt;0,$H30&gt;0,OR(AUTOEVENTO&lt;&gt;"manual",$M30&lt;&gt;1)),ROUND(OFFSET($P30,0,BW$13),15-13*ORÇAMENTO!$AF$7)/$H30*OFFSET(ORÇAMENTO!$X$15,ROW(BW30)-ROW(BW$15),0),0)</f>
        <v>0</v>
      </c>
      <c r="BX30" s="628">
        <f ca="1">IF(AND($D30="Serviço",BX$12&lt;&gt;0,$H30&gt;0,OR(AUTOEVENTO&lt;&gt;"manual",$M30&lt;&gt;1)),ROUND(OFFSET($P30,0,BX$13),15-13*ORÇAMENTO!$AF$7)/$H30*OFFSET(ORÇAMENTO!$X$15,ROW(BX30)-ROW(BX$15),0),0)</f>
        <v>0</v>
      </c>
      <c r="BY30" s="629">
        <f ca="1">IF(AND($D30="Serviço",BY$12&lt;&gt;0,$H30&gt;0,OR(AUTOEVENTO&lt;&gt;"manual",$M30&lt;&gt;1)),ROUND(OFFSET($P30,0,BY$13),15-13*ORÇAMENTO!$AF$7)/$H30*OFFSET(ORÇAMENTO!$X$15,ROW(BY30)-ROW(BY$15),0),0)</f>
        <v>0</v>
      </c>
      <c r="BZ30" s="628">
        <f ca="1">IF(AND($D30="Serviço",BZ$12&lt;&gt;0,$H30&gt;0,OR(AUTOEVENTO&lt;&gt;"manual",$M30&lt;&gt;1)),ROUND(OFFSET($P30,0,BZ$13),15-13*ORÇAMENTO!$AF$7)/$H30*OFFSET(ORÇAMENTO!$X$15,ROW(BZ30)-ROW(BZ$15),0),0)</f>
        <v>0</v>
      </c>
      <c r="CA30" s="628">
        <f ca="1">IF(AND($D30="Serviço",CA$12&lt;&gt;0,$H30&gt;0,OR(AUTOEVENTO&lt;&gt;"manual",$M30&lt;&gt;1)),ROUND(OFFSET($P30,0,CA$13),15-13*ORÇAMENTO!$AF$7)/$H30*OFFSET(ORÇAMENTO!$X$15,ROW(CA30)-ROW(CA$15),0),0)</f>
        <v>0</v>
      </c>
      <c r="CB30" s="628">
        <f ca="1">IF(AND($D30="Serviço",CB$12&lt;&gt;0,$H30&gt;0,OR(AUTOEVENTO&lt;&gt;"manual",$M30&lt;&gt;1)),ROUND(OFFSET($P30,0,CB$13),15-13*ORÇAMENTO!$AF$7)/$H30*OFFSET(ORÇAMENTO!$X$15,ROW(CB30)-ROW(CB$15),0),0)</f>
        <v>0</v>
      </c>
      <c r="CC30" s="628">
        <f ca="1">IF(AND($D30="Serviço",CC$12&lt;&gt;0,$H30&gt;0,OR(AUTOEVENTO&lt;&gt;"manual",$M30&lt;&gt;1)),ROUND(OFFSET($P30,0,CC$13),15-13*ORÇAMENTO!$AF$7)/$H30*OFFSET(ORÇAMENTO!$X$15,ROW(CC30)-ROW(CC$15),0),0)</f>
        <v>0</v>
      </c>
      <c r="CD30" s="628">
        <f ca="1">IF(AND($D30="Serviço",CD$12&lt;&gt;0,$H30&gt;0,OR(AUTOEVENTO&lt;&gt;"manual",$M30&lt;&gt;1)),ROUND(OFFSET($P30,0,CD$13),15-13*ORÇAMENTO!$AF$7)/$H30*OFFSET(ORÇAMENTO!$X$15,ROW(CD30)-ROW(CD$15),0),0)</f>
        <v>0</v>
      </c>
      <c r="CE30" s="628">
        <f ca="1">IF(AND($D30="Serviço",CE$12&lt;&gt;0,$H30&gt;0,OR(AUTOEVENTO&lt;&gt;"manual",$M30&lt;&gt;1)),ROUND(OFFSET($P30,0,CE$13),15-13*ORÇAMENTO!$AF$7)/$H30*OFFSET(ORÇAMENTO!$X$15,ROW(CE30)-ROW(CE$15),0),0)</f>
        <v>0</v>
      </c>
      <c r="CF30" s="628">
        <f ca="1">IF(AND($D30="Serviço",CF$12&lt;&gt;0,$H30&gt;0,OR(AUTOEVENTO&lt;&gt;"manual",$M30&lt;&gt;1)),ROUND(OFFSET($P30,0,CF$13),15-13*ORÇAMENTO!$AF$7)/$H30*OFFSET(ORÇAMENTO!$X$15,ROW(CF30)-ROW(CF$15),0),0)</f>
        <v>0</v>
      </c>
      <c r="CG30" s="629">
        <f ca="1">IF(AND($D30="Serviço",CG$12&lt;&gt;0,$H30&gt;0,OR(AUTOEVENTO&lt;&gt;"manual",$M30&lt;&gt;1)),ROUND(OFFSET($P30,0,CG$13),15-13*ORÇAMENTO!$AF$7)/$H30*OFFSET(ORÇAMENTO!$X$15,ROW(CG30)-ROW(CG$15),0),0)</f>
        <v>0</v>
      </c>
      <c r="CH30" s="628">
        <f ca="1">IF(AND($D30="Serviço",CH$12&lt;&gt;0,$H30&gt;0,OR(AUTOEVENTO&lt;&gt;"manual",$M30&lt;&gt;1)),ROUND(OFFSET($P30,0,CH$13),15-13*ORÇAMENTO!$AF$7)/$H30*OFFSET(ORÇAMENTO!$X$15,ROW(CH30)-ROW(CH$15),0),0)</f>
        <v>0</v>
      </c>
      <c r="CI30" s="628">
        <f ca="1">IF(AND($D30="Serviço",CI$12&lt;&gt;0,$H30&gt;0,OR(AUTOEVENTO&lt;&gt;"manual",$M30&lt;&gt;1)),ROUND(OFFSET($P30,0,CI$13),15-13*ORÇAMENTO!$AF$7)/$H30*OFFSET(ORÇAMENTO!$X$15,ROW(CI30)-ROW(CI$15),0),0)</f>
        <v>0</v>
      </c>
      <c r="CJ30" s="628">
        <f ca="1">IF(AND($D30="Serviço",CJ$12&lt;&gt;0,$H30&gt;0,OR(AUTOEVENTO&lt;&gt;"manual",$M30&lt;&gt;1)),ROUND(OFFSET($P30,0,CJ$13),15-13*ORÇAMENTO!$AF$7)/$H30*OFFSET(ORÇAMENTO!$X$15,ROW(CJ30)-ROW(CJ$15),0),0)</f>
        <v>0</v>
      </c>
      <c r="CK30" s="628">
        <f ca="1">IF(AND($D30="Serviço",CK$12&lt;&gt;0,$H30&gt;0,OR(AUTOEVENTO&lt;&gt;"manual",$M30&lt;&gt;1)),ROUND(OFFSET($P30,0,CK$13),15-13*ORÇAMENTO!$AF$7)/$H30*OFFSET(ORÇAMENTO!$X$15,ROW(CK30)-ROW(CK$15),0),0)</f>
        <v>0</v>
      </c>
      <c r="CL30" s="628">
        <f ca="1">IF(AND($D30="Serviço",CL$12&lt;&gt;0,$H30&gt;0,OR(AUTOEVENTO&lt;&gt;"manual",$M30&lt;&gt;1)),ROUND(OFFSET($P30,0,CL$13),15-13*ORÇAMENTO!$AF$7)/$H30*OFFSET(ORÇAMENTO!$X$15,ROW(CL30)-ROW(CL$15),0),0)</f>
        <v>0</v>
      </c>
      <c r="CM30" s="628">
        <f ca="1">IF(AND($D30="Serviço",CM$12&lt;&gt;0,$H30&gt;0,OR(AUTOEVENTO&lt;&gt;"manual",$M30&lt;&gt;1)),ROUND(OFFSET($P30,0,CM$13),15-13*ORÇAMENTO!$AF$7)/$H30*OFFSET(ORÇAMENTO!$X$15,ROW(CM30)-ROW(CM$15),0),0)</f>
        <v>0</v>
      </c>
      <c r="CN30" s="628">
        <f ca="1">IF(AND($D30="Serviço",CN$12&lt;&gt;0,$H30&gt;0,OR(AUTOEVENTO&lt;&gt;"manual",$M30&lt;&gt;1)),ROUND(OFFSET($P30,0,CN$13),15-13*ORÇAMENTO!$AF$7)/$H30*OFFSET(ORÇAMENTO!$X$15,ROW(CN30)-ROW(CN$15),0),0)</f>
        <v>0</v>
      </c>
      <c r="CO30" s="629">
        <f ca="1">IF(AND($D30="Serviço",CO$12&lt;&gt;0,$H30&gt;0,OR(AUTOEVENTO&lt;&gt;"manual",$M30&lt;&gt;1)),ROUND(OFFSET($P30,0,CO$13),15-13*ORÇAMENTO!$AF$7)/$H30*OFFSET(ORÇAMENTO!$X$15,ROW(CO30)-ROW(CO$15),0),0)</f>
        <v>0</v>
      </c>
      <c r="CP30" s="628">
        <f ca="1">IF(AND($D30="Serviço",CP$12&lt;&gt;0,$H30&gt;0,OR(AUTOEVENTO&lt;&gt;"manual",$M30&lt;&gt;1)),ROUND(OFFSET($P30,0,CP$13),15-13*ORÇAMENTO!$AF$7)/$H30*OFFSET(ORÇAMENTO!$X$15,ROW(CP30)-ROW(CP$15),0),0)</f>
        <v>0</v>
      </c>
      <c r="CQ30" s="628">
        <f ca="1">IF(AND($D30="Serviço",CQ$12&lt;&gt;0,$H30&gt;0,OR(AUTOEVENTO&lt;&gt;"manual",$M30&lt;&gt;1)),ROUND(OFFSET($P30,0,CQ$13),15-13*ORÇAMENTO!$AF$7)/$H30*OFFSET(ORÇAMENTO!$X$15,ROW(CQ30)-ROW(CQ$15),0),0)</f>
        <v>0</v>
      </c>
      <c r="CR30" s="628">
        <f ca="1">IF(AND($D30="Serviço",CR$12&lt;&gt;0,$H30&gt;0,OR(AUTOEVENTO&lt;&gt;"manual",$M30&lt;&gt;1)),ROUND(OFFSET($P30,0,CR$13),15-13*ORÇAMENTO!$AF$7)/$H30*OFFSET(ORÇAMENTO!$X$15,ROW(CR30)-ROW(CR$15),0),0)</f>
        <v>0</v>
      </c>
      <c r="CS30" s="628">
        <f ca="1">IF(AND($D30="Serviço",CS$12&lt;&gt;0,$H30&gt;0,OR(AUTOEVENTO&lt;&gt;"manual",$M30&lt;&gt;1)),ROUND(OFFSET($P30,0,CS$13),15-13*ORÇAMENTO!$AF$7)/$H30*OFFSET(ORÇAMENTO!$X$15,ROW(CS30)-ROW(CS$15),0),0)</f>
        <v>0</v>
      </c>
      <c r="CT30" s="628">
        <f ca="1">IF(AND($D30="Serviço",CT$12&lt;&gt;0,$H30&gt;0,OR(AUTOEVENTO&lt;&gt;"manual",$M30&lt;&gt;1)),ROUND(OFFSET($P30,0,CT$13),15-13*ORÇAMENTO!$AF$7)/$H30*OFFSET(ORÇAMENTO!$X$15,ROW(CT30)-ROW(CT$15),0),0)</f>
        <v>0</v>
      </c>
      <c r="CU30" s="628">
        <f ca="1">IF(AND($D30="Serviço",CU$12&lt;&gt;0,$H30&gt;0,OR(AUTOEVENTO&lt;&gt;"manual",$M30&lt;&gt;1)),ROUND(OFFSET($P30,0,CU$13),15-13*ORÇAMENTO!$AF$7)/$H30*OFFSET(ORÇAMENTO!$X$15,ROW(CU30)-ROW(CU$15),0),0)</f>
        <v>0</v>
      </c>
      <c r="CV30" s="628">
        <f ca="1">IF(AND($D30="Serviço",CV$12&lt;&gt;0,$H30&gt;0,OR(AUTOEVENTO&lt;&gt;"manual",$M30&lt;&gt;1)),ROUND(OFFSET($P30,0,CV$13),15-13*ORÇAMENTO!$AF$7)/$H30*OFFSET(ORÇAMENTO!$X$15,ROW(CV30)-ROW(CV$15),0),0)</f>
        <v>0</v>
      </c>
      <c r="CW30" s="629">
        <f ca="1">IF(AND($D30="Serviço",CW$12&lt;&gt;0,$H30&gt;0,OR(AUTOEVENTO&lt;&gt;"manual",$M30&lt;&gt;1)),ROUND(OFFSET($P30,0,CW$13),15-13*ORÇAMENTO!$AF$7)/$H30*OFFSET(ORÇAMENTO!$X$15,ROW(CW30)-ROW(CW$15),0),0)</f>
        <v>0</v>
      </c>
      <c r="CX30" s="628">
        <f ca="1">IF(AND($D30="Serviço",CX$12&lt;&gt;0,$H30&gt;0,OR(AUTOEVENTO&lt;&gt;"manual",$M30&lt;&gt;1)),ROUND(OFFSET($P30,0,CX$13),15-13*ORÇAMENTO!$AF$7)/$H30*OFFSET(ORÇAMENTO!$X$15,ROW(CX30)-ROW(CX$15),0),0)</f>
        <v>0</v>
      </c>
      <c r="CY30" s="628">
        <f ca="1">IF(AND($D30="Serviço",CY$12&lt;&gt;0,$H30&gt;0,OR(AUTOEVENTO&lt;&gt;"manual",$M30&lt;&gt;1)),ROUND(OFFSET($P30,0,CY$13),15-13*ORÇAMENTO!$AF$7)/$H30*OFFSET(ORÇAMENTO!$X$15,ROW(CY30)-ROW(CY$15),0),0)</f>
        <v>0</v>
      </c>
      <c r="CZ30" s="628">
        <f ca="1">IF(AND($D30="Serviço",CZ$12&lt;&gt;0,$H30&gt;0,OR(AUTOEVENTO&lt;&gt;"manual",$M30&lt;&gt;1)),ROUND(OFFSET($P30,0,CZ$13),15-13*ORÇAMENTO!$AF$7)/$H30*OFFSET(ORÇAMENTO!$X$15,ROW(CZ30)-ROW(CZ$15),0),0)</f>
        <v>0</v>
      </c>
      <c r="DA30" s="628">
        <f ca="1">IF(AND($D30="Serviço",DA$12&lt;&gt;0,$H30&gt;0,OR(AUTOEVENTO&lt;&gt;"manual",$M30&lt;&gt;1)),ROUND(OFFSET($P30,0,DA$13),15-13*ORÇAMENTO!$AF$7)/$H30*OFFSET(ORÇAMENTO!$X$15,ROW(DA30)-ROW(DA$15),0),0)</f>
        <v>0</v>
      </c>
      <c r="DB30" s="628">
        <f ca="1">IF(AND($D30="Serviço",DB$12&lt;&gt;0,$H30&gt;0,OR(AUTOEVENTO&lt;&gt;"manual",$M30&lt;&gt;1)),ROUND(OFFSET($P30,0,DB$13),15-13*ORÇAMENTO!$AF$7)/$H30*OFFSET(ORÇAMENTO!$X$15,ROW(DB30)-ROW(DB$15),0),0)</f>
        <v>0</v>
      </c>
      <c r="DC30" s="628">
        <f ca="1">IF(AND($D30="Serviço",DC$12&lt;&gt;0,$H30&gt;0,OR(AUTOEVENTO&lt;&gt;"manual",$M30&lt;&gt;1)),ROUND(OFFSET($P30,0,DC$13),15-13*ORÇAMENTO!$AF$7)/$H30*OFFSET(ORÇAMENTO!$X$15,ROW(DC30)-ROW(DC$15),0),0)</f>
        <v>0</v>
      </c>
      <c r="DD30" s="628">
        <f ca="1">IF(AND($D30="Serviço",DD$12&lt;&gt;0,$H30&gt;0,OR(AUTOEVENTO&lt;&gt;"manual",$M30&lt;&gt;1)),ROUND(OFFSET($P30,0,DD$13),15-13*ORÇAMENTO!$AF$7)/$H30*OFFSET(ORÇAMENTO!$X$15,ROW(DD30)-ROW(DD$15),0),0)</f>
        <v>0</v>
      </c>
      <c r="DE30" s="629">
        <f ca="1">IF(AND($D30="Serviço",DE$12&lt;&gt;0,$H30&gt;0,OR(AUTOEVENTO&lt;&gt;"manual",$M30&lt;&gt;1)),ROUND(OFFSET($P30,0,DE$13),15-13*ORÇAMENTO!$AF$7)/$H30*OFFSET(ORÇAMENTO!$X$15,ROW(DE30)-ROW(DE$15),0),0)</f>
        <v>0</v>
      </c>
      <c r="DF30" s="628">
        <f ca="1">IF(AND($D30="Serviço",DF$12&lt;&gt;0,$H30&gt;0,OR(AUTOEVENTO&lt;&gt;"manual",$M30&lt;&gt;1)),ROUND(OFFSET($P30,0,DF$13),15-13*ORÇAMENTO!$AF$7)/$H30*OFFSET(ORÇAMENTO!$X$15,ROW(DF30)-ROW(DF$15),0),0)</f>
        <v>0</v>
      </c>
      <c r="DG30" s="628">
        <f ca="1">IF(AND($D30="Serviço",DG$12&lt;&gt;0,$H30&gt;0,OR(AUTOEVENTO&lt;&gt;"manual",$M30&lt;&gt;1)),ROUND(OFFSET($P30,0,DG$13),15-13*ORÇAMENTO!$AF$7)/$H30*OFFSET(ORÇAMENTO!$X$15,ROW(DG30)-ROW(DG$15),0),0)</f>
        <v>0</v>
      </c>
      <c r="DH30" s="628">
        <f ca="1">IF(AND($D30="Serviço",DH$12&lt;&gt;0,$H30&gt;0,OR(AUTOEVENTO&lt;&gt;"manual",$M30&lt;&gt;1)),ROUND(OFFSET($P30,0,DH$13),15-13*ORÇAMENTO!$AF$7)/$H30*OFFSET(ORÇAMENTO!$X$15,ROW(DH30)-ROW(DH$15),0),0)</f>
        <v>0</v>
      </c>
      <c r="DI30" s="628">
        <f ca="1">IF(AND($D30="Serviço",DI$12&lt;&gt;0,$H30&gt;0,OR(AUTOEVENTO&lt;&gt;"manual",$M30&lt;&gt;1)),ROUND(OFFSET($P30,0,DI$13),15-13*ORÇAMENTO!$AF$7)/$H30*OFFSET(ORÇAMENTO!$X$15,ROW(DI30)-ROW(DI$15),0),0)</f>
        <v>0</v>
      </c>
      <c r="DJ30" s="628">
        <f ca="1">IF(AND($D30="Serviço",DJ$12&lt;&gt;0,$H30&gt;0,OR(AUTOEVENTO&lt;&gt;"manual",$M30&lt;&gt;1)),ROUND(OFFSET($P30,0,DJ$13),15-13*ORÇAMENTO!$AF$7)/$H30*OFFSET(ORÇAMENTO!$X$15,ROW(DJ30)-ROW(DJ$15),0),0)</f>
        <v>0</v>
      </c>
      <c r="DK30" s="628">
        <f ca="1">IF(AND($D30="Serviço",DK$12&lt;&gt;0,$H30&gt;0,OR(AUTOEVENTO&lt;&gt;"manual",$M30&lt;&gt;1)),ROUND(OFFSET($P30,0,DK$13),15-13*ORÇAMENTO!$AF$7)/$H30*OFFSET(ORÇAMENTO!$X$15,ROW(DK30)-ROW(DK$15),0),0)</f>
        <v>0</v>
      </c>
      <c r="DL30" s="628">
        <f ca="1">IF(AND($D30="Serviço",DL$12&lt;&gt;0,$H30&gt;0,OR(AUTOEVENTO&lt;&gt;"manual",$M30&lt;&gt;1)),ROUND(OFFSET($P30,0,DL$13),15-13*ORÇAMENTO!$AF$7)/$H30*OFFSET(ORÇAMENTO!$X$15,ROW(DL30)-ROW(DL$15),0),0)</f>
        <v>0</v>
      </c>
      <c r="DM30" s="629">
        <f ca="1">IF(AND($D30="Serviço",DM$12&lt;&gt;0,$H30&gt;0,OR(AUTOEVENTO&lt;&gt;"manual",$M30&lt;&gt;1)),ROUND(OFFSET($P30,0,DM$13),15-13*ORÇAMENTO!$AF$7)/$H30*OFFSET(ORÇAMENTO!$X$15,ROW(DM30)-ROW(DM$15),0),0)</f>
        <v>0</v>
      </c>
      <c r="DO30" s="211">
        <f ca="1">IF($D30&lt;&gt;"Serviço",0,IF(AND(AUTOEVENTO="Manual",$M30=1),0,IF(OFFSET(CRONOPLE!$F$14,$M30,DO$13)="",10^12,OFFSET(CRONOPLE!$F$14,$M30,DO$13))))</f>
        <v>1</v>
      </c>
      <c r="DP30" s="211">
        <f ca="1">IF($D30&lt;&gt;"Serviço",0,IF(AND(AUTOEVENTO="Manual",$M30=1),0,IF(OFFSET(CRONOPLE!$F$14,$M30,DP$13)="",10^12,OFFSET(CRONOPLE!$F$14,$M30,DP$13))))</f>
        <v>3</v>
      </c>
      <c r="DQ30" s="211">
        <f ca="1">IF($D30&lt;&gt;"Serviço",0,IF(AND(AUTOEVENTO="Manual",$M30=1),0,IF(OFFSET(CRONOPLE!$F$14,$M30,DQ$13)="",10^12,OFFSET(CRONOPLE!$F$14,$M30,DQ$13))))</f>
        <v>3</v>
      </c>
      <c r="DR30" s="211">
        <f ca="1">IF($D30&lt;&gt;"Serviço",0,IF(AND(AUTOEVENTO="Manual",$M30=1),0,IF(OFFSET(CRONOPLE!$F$14,$M30,DR$13)="",10^12,OFFSET(CRONOPLE!$F$14,$M30,DR$13))))</f>
        <v>1000000000000</v>
      </c>
      <c r="DS30" s="211">
        <f ca="1">IF($D30&lt;&gt;"Serviço",0,IF(AND(AUTOEVENTO="Manual",$M30=1),0,IF(OFFSET(CRONOPLE!$F$14,$M30,DS$13)="",10^12,OFFSET(CRONOPLE!$F$14,$M30,DS$13))))</f>
        <v>1000000000000</v>
      </c>
      <c r="DT30" s="211">
        <f ca="1">IF($D30&lt;&gt;"Serviço",0,IF(AND(AUTOEVENTO="Manual",$M30=1),0,IF(OFFSET(CRONOPLE!$F$14,$M30,DT$13)="",10^12,OFFSET(CRONOPLE!$F$14,$M30,DT$13))))</f>
        <v>1000000000000</v>
      </c>
      <c r="DU30" s="211">
        <f ca="1">IF($D30&lt;&gt;"Serviço",0,IF(AND(AUTOEVENTO="Manual",$M30=1),0,IF(OFFSET(CRONOPLE!$F$14,$M30,DU$13)="",10^12,OFFSET(CRONOPLE!$F$14,$M30,DU$13))))</f>
        <v>1000000000000</v>
      </c>
      <c r="DV30" s="211">
        <f ca="1">IF($D30&lt;&gt;"Serviço",0,IF(AND(AUTOEVENTO="Manual",$M30=1),0,IF(OFFSET(CRONOPLE!$F$14,$M30,DV$13)="",10^12,OFFSET(CRONOPLE!$F$14,$M30,DV$13))))</f>
        <v>1000000000000</v>
      </c>
      <c r="DW30" s="211">
        <f ca="1">IF($D30&lt;&gt;"Serviço",0,IF(AND(AUTOEVENTO="Manual",$M30=1),0,IF(OFFSET(CRONOPLE!$F$14,$M30,DW$13)="",10^12,OFFSET(CRONOPLE!$F$14,$M30,DW$13))))</f>
        <v>1000000000000</v>
      </c>
      <c r="DX30" s="211">
        <f ca="1">IF($D30&lt;&gt;"Serviço",0,IF(AND(AUTOEVENTO="Manual",$M30=1),0,IF(OFFSET(CRONOPLE!$F$14,$M30,DX$13)="",10^12,OFFSET(CRONOPLE!$F$14,$M30,DX$13))))</f>
        <v>1000000000000</v>
      </c>
      <c r="DY30" s="211">
        <f ca="1">IF($D30&lt;&gt;"Serviço",0,IF(AND(AUTOEVENTO="Manual",$M30=1),0,IF(OFFSET(CRONOPLE!$F$14,$M30,DY$13)="",10^12,OFFSET(CRONOPLE!$F$14,$M30,DY$13))))</f>
        <v>1000000000000</v>
      </c>
      <c r="DZ30" s="211">
        <f ca="1">IF($D30&lt;&gt;"Serviço",0,IF(AND(AUTOEVENTO="Manual",$M30=1),0,IF(OFFSET(CRONOPLE!$F$14,$M30,DZ$13)="",10^12,OFFSET(CRONOPLE!$F$14,$M30,DZ$13))))</f>
        <v>1000000000000</v>
      </c>
      <c r="EA30" s="211">
        <f ca="1">IF($D30&lt;&gt;"Serviço",0,IF(AND(AUTOEVENTO="Manual",$M30=1),0,IF(OFFSET(CRONOPLE!$F$14,$M30,EA$13)="",10^12,OFFSET(CRONOPLE!$F$14,$M30,EA$13))))</f>
        <v>1000000000000</v>
      </c>
      <c r="EB30" s="211">
        <f ca="1">IF($D30&lt;&gt;"Serviço",0,IF(AND(AUTOEVENTO="Manual",$M30=1),0,IF(OFFSET(CRONOPLE!$F$14,$M30,EB$13)="",10^12,OFFSET(CRONOPLE!$F$14,$M30,EB$13))))</f>
        <v>1000000000000</v>
      </c>
      <c r="EC30" s="211">
        <f ca="1">IF($D30&lt;&gt;"Serviço",0,IF(AND(AUTOEVENTO="Manual",$M30=1),0,IF(OFFSET(CRONOPLE!$F$14,$M30,EC$13)="",10^12,OFFSET(CRONOPLE!$F$14,$M30,EC$13))))</f>
        <v>1000000000000</v>
      </c>
      <c r="ED30" s="211">
        <f ca="1">IF($D30&lt;&gt;"Serviço",0,IF(AND(AUTOEVENTO="Manual",$M30=1),0,IF(OFFSET(CRONOPLE!$F$14,$M30,ED$13)="",10^12,OFFSET(CRONOPLE!$F$14,$M30,ED$13))))</f>
        <v>1000000000000</v>
      </c>
      <c r="EE30" s="211">
        <f ca="1">IF($D30&lt;&gt;"Serviço",0,IF(AND(AUTOEVENTO="Manual",$M30=1),0,IF(OFFSET(CRONOPLE!$F$14,$M30,EE$13)="",10^12,OFFSET(CRONOPLE!$F$14,$M30,EE$13))))</f>
        <v>1000000000000</v>
      </c>
      <c r="EF30" s="211">
        <f ca="1">IF($D30&lt;&gt;"Serviço",0,IF(AND(AUTOEVENTO="Manual",$M30=1),0,IF(OFFSET(CRONOPLE!$F$14,$M30,EF$13)="",10^12,OFFSET(CRONOPLE!$F$14,$M30,EF$13))))</f>
        <v>1000000000000</v>
      </c>
      <c r="EG30" s="211">
        <f ca="1">IF($D30&lt;&gt;"Serviço",0,IF(AND(AUTOEVENTO="Manual",$M30=1),0,IF(OFFSET(CRONOPLE!$F$14,$M30,EG$13)="",10^12,OFFSET(CRONOPLE!$F$14,$M30,EG$13))))</f>
        <v>1000000000000</v>
      </c>
      <c r="EH30" s="211">
        <f ca="1">IF($D30&lt;&gt;"Serviço",0,IF(AND(AUTOEVENTO="Manual",$M30=1),0,IF(OFFSET(CRONOPLE!$F$14,$M30,EH$13)="",10^12,OFFSET(CRONOPLE!$F$14,$M30,EH$13))))</f>
        <v>1000000000000</v>
      </c>
      <c r="EI30" s="211">
        <f ca="1">IF($D30&lt;&gt;"Serviço",0,IF(AND(AUTOEVENTO="Manual",$M30=1),0,IF(OFFSET(CRONOPLE!$F$14,$M30,EI$13)="",10^12,OFFSET(CRONOPLE!$F$14,$M30,EI$13))))</f>
        <v>1000000000000</v>
      </c>
      <c r="EJ30" s="211">
        <f ca="1">IF($D30&lt;&gt;"Serviço",0,IF(AND(AUTOEVENTO="Manual",$M30=1),0,IF(OFFSET(CRONOPLE!$F$14,$M30,EJ$13)="",10^12,OFFSET(CRONOPLE!$F$14,$M30,EJ$13))))</f>
        <v>1000000000000</v>
      </c>
      <c r="EK30" s="211">
        <f ca="1">IF($D30&lt;&gt;"Serviço",0,IF(AND(AUTOEVENTO="Manual",$M30=1),0,IF(OFFSET(CRONOPLE!$F$14,$M30,EK$13)="",10^12,OFFSET(CRONOPLE!$F$14,$M30,EK$13))))</f>
        <v>1000000000000</v>
      </c>
      <c r="EL30" s="211">
        <f ca="1">IF($D30&lt;&gt;"Serviço",0,IF(AND(AUTOEVENTO="Manual",$M30=1),0,IF(OFFSET(CRONOPLE!$F$14,$M30,EL$13)="",10^12,OFFSET(CRONOPLE!$F$14,$M30,EL$13))))</f>
        <v>1000000000000</v>
      </c>
      <c r="EM30" s="211">
        <f ca="1">IF($D30&lt;&gt;"Serviço",0,IF(AND(AUTOEVENTO="Manual",$M30=1),0,IF(OFFSET(CRONOPLE!$F$14,$M30,EM$13)="",10^12,OFFSET(CRONOPLE!$F$14,$M30,EM$13))))</f>
        <v>1000000000000</v>
      </c>
      <c r="EN30" s="211">
        <f ca="1">IF($D30&lt;&gt;"Serviço",0,IF(AND(AUTOEVENTO="Manual",$M30=1),0,IF(OFFSET(CRONOPLE!$F$14,$M30,EN$13)="",10^12,OFFSET(CRONOPLE!$F$14,$M30,EN$13))))</f>
        <v>1000000000000</v>
      </c>
      <c r="EO30" s="211">
        <f ca="1">IF($D30&lt;&gt;"Serviço",0,IF(AND(AUTOEVENTO="Manual",$M30=1),0,IF(OFFSET(CRONOPLE!$F$14,$M30,EO$13)="",10^12,OFFSET(CRONOPLE!$F$14,$M30,EO$13))))</f>
        <v>1000000000000</v>
      </c>
      <c r="EP30" s="211">
        <f ca="1">IF($D30&lt;&gt;"Serviço",0,IF(AND(AUTOEVENTO="Manual",$M30=1),0,IF(OFFSET(CRONOPLE!$F$14,$M30,EP$13)="",10^12,OFFSET(CRONOPLE!$F$14,$M30,EP$13))))</f>
        <v>1000000000000</v>
      </c>
      <c r="EQ30" s="211">
        <f ca="1">IF($D30&lt;&gt;"Serviço",0,IF(AND(AUTOEVENTO="Manual",$M30=1),0,IF(OFFSET(CRONOPLE!$F$14,$M30,EQ$13)="",10^12,OFFSET(CRONOPLE!$F$14,$M30,EQ$13))))</f>
        <v>1000000000000</v>
      </c>
      <c r="ER30" s="211">
        <f ca="1">IF($D30&lt;&gt;"Serviço",0,IF(AND(AUTOEVENTO="Manual",$M30=1),0,IF(OFFSET(CRONOPLE!$F$14,$M30,ER$13)="",10^12,OFFSET(CRONOPLE!$F$14,$M30,ER$13))))</f>
        <v>1000000000000</v>
      </c>
      <c r="ES30" s="211">
        <f ca="1">IF($D30&lt;&gt;"Serviço",0,IF(AND(AUTOEVENTO="Manual",$M30=1),0,IF(OFFSET(CRONOPLE!$F$14,$M30,ES$13)="",10^12,OFFSET(CRONOPLE!$F$14,$M30,ES$13))))</f>
        <v>1000000000000</v>
      </c>
      <c r="ET30" s="211">
        <f ca="1">IF($D30&lt;&gt;"Serviço",0,IF(AND(AUTOEVENTO="Manual",$M30=1),0,IF(OFFSET(CRONOPLE!$F$14,$M30,ET$13)="",10^12,OFFSET(CRONOPLE!$F$14,$M30,ET$13))))</f>
        <v>1000000000000</v>
      </c>
      <c r="EU30" s="211">
        <f ca="1">IF($D30&lt;&gt;"Serviço",0,IF(AND(AUTOEVENTO="Manual",$M30=1),0,IF(OFFSET(CRONOPLE!$F$14,$M30,EU$13)="",10^12,OFFSET(CRONOPLE!$F$14,$M30,EU$13))))</f>
        <v>1000000000000</v>
      </c>
      <c r="EV30" s="211">
        <f ca="1">IF($D30&lt;&gt;"Serviço",0,IF(AND(AUTOEVENTO="Manual",$M30=1),0,IF(OFFSET(CRONOPLE!$F$14,$M30,EV$13)="",10^12,OFFSET(CRONOPLE!$F$14,$M30,EV$13))))</f>
        <v>1000000000000</v>
      </c>
      <c r="EW30" s="211">
        <f ca="1">IF($D30&lt;&gt;"Serviço",0,IF(AND(AUTOEVENTO="Manual",$M30=1),0,IF(OFFSET(CRONOPLE!$F$14,$M30,EW$13)="",10^12,OFFSET(CRONOPLE!$F$14,$M30,EW$13))))</f>
        <v>1000000000000</v>
      </c>
      <c r="EX30" s="211">
        <f ca="1">IF($D30&lt;&gt;"Serviço",0,IF(AND(AUTOEVENTO="Manual",$M30=1),0,IF(OFFSET(CRONOPLE!$F$14,$M30,EX$13)="",10^12,OFFSET(CRONOPLE!$F$14,$M30,EX$13))))</f>
        <v>1000000000000</v>
      </c>
      <c r="EY30" s="211">
        <f ca="1">IF($D30&lt;&gt;"Serviço",0,IF(AND(AUTOEVENTO="Manual",$M30=1),0,IF(OFFSET(CRONOPLE!$F$14,$M30,EY$13)="",10^12,OFFSET(CRONOPLE!$F$14,$M30,EY$13))))</f>
        <v>1000000000000</v>
      </c>
      <c r="EZ30" s="211">
        <f ca="1">IF($D30&lt;&gt;"Serviço",0,IF(AND(AUTOEVENTO="Manual",$M30=1),0,IF(OFFSET(CRONOPLE!$F$14,$M30,EZ$13)="",10^12,OFFSET(CRONOPLE!$F$14,$M30,EZ$13))))</f>
        <v>1000000000000</v>
      </c>
      <c r="FA30" s="211">
        <f ca="1">IF($D30&lt;&gt;"Serviço",0,IF(AND(AUTOEVENTO="Manual",$M30=1),0,IF(OFFSET(CRONOPLE!$F$14,$M30,FA$13)="",10^12,OFFSET(CRONOPLE!$F$14,$M30,FA$13))))</f>
        <v>1000000000000</v>
      </c>
      <c r="FB30" s="211">
        <f ca="1">IF($D30&lt;&gt;"Serviço",0,IF(AND(AUTOEVENTO="Manual",$M30=1),0,IF(OFFSET(CRONOPLE!$F$14,$M30,FB$13)="",10^12,OFFSET(CRONOPLE!$F$14,$M30,FB$13))))</f>
        <v>1000000000000</v>
      </c>
      <c r="FC30" s="211">
        <f ca="1">IF($D30&lt;&gt;"Serviço",0,IF(AND(AUTOEVENTO="Manual",$M30=1),0,IF(OFFSET(CRONOPLE!$F$14,$M30,FC$13)="",10^12,OFFSET(CRONOPLE!$F$14,$M30,FC$13))))</f>
        <v>1000000000000</v>
      </c>
      <c r="FD30" s="211">
        <f ca="1">IF($D30&lt;&gt;"Serviço",0,IF(AND(AUTOEVENTO="Manual",$M30=1),0,IF(OFFSET(CRONOPLE!$F$14,$M30,FD$13)="",10^12,OFFSET(CRONOPLE!$F$14,$M30,FD$13))))</f>
        <v>1000000000000</v>
      </c>
      <c r="FE30" s="211">
        <f ca="1">IF($D30&lt;&gt;"Serviço",0,IF(AND(AUTOEVENTO="Manual",$M30=1),0,IF(OFFSET(CRONOPLE!$F$14,$M30,FE$13)="",10^12,OFFSET(CRONOPLE!$F$14,$M30,FE$13))))</f>
        <v>1000000000000</v>
      </c>
      <c r="FF30" s="211">
        <f ca="1">IF($D30&lt;&gt;"Serviço",0,IF(AND(AUTOEVENTO="Manual",$M30=1),0,IF(OFFSET(CRONOPLE!$F$14,$M30,FF$13)="",10^12,OFFSET(CRONOPLE!$F$14,$M30,FF$13))))</f>
        <v>1000000000000</v>
      </c>
      <c r="FG30" s="211">
        <f ca="1">IF($D30&lt;&gt;"Serviço",0,IF(AND(AUTOEVENTO="Manual",$M30=1),0,IF(OFFSET(CRONOPLE!$F$14,$M30,FG$13)="",10^12,OFFSET(CRONOPLE!$F$14,$M30,FG$13))))</f>
        <v>1000000000000</v>
      </c>
      <c r="FH30" s="211">
        <f ca="1">IF($D30&lt;&gt;"Serviço",0,IF(AND(AUTOEVENTO="Manual",$M30=1),0,IF(OFFSET(CRONOPLE!$F$14,$M30,FH$13)="",10^12,OFFSET(CRONOPLE!$F$14,$M30,FH$13))))</f>
        <v>1000000000000</v>
      </c>
      <c r="FI30" s="211">
        <f ca="1">IF($D30&lt;&gt;"Serviço",0,IF(AND(AUTOEVENTO="Manual",$M30=1),0,IF(OFFSET(CRONOPLE!$F$14,$M30,FI$13)="",10^12,OFFSET(CRONOPLE!$F$14,$M30,FI$13))))</f>
        <v>1000000000000</v>
      </c>
      <c r="FJ30" s="211">
        <f ca="1">IF($D30&lt;&gt;"Serviço",0,IF(AND(AUTOEVENTO="Manual",$M30=1),0,IF(OFFSET(CRONOPLE!$F$14,$M30,FJ$13)="",10^12,OFFSET(CRONOPLE!$F$14,$M30,FJ$13))))</f>
        <v>1000000000000</v>
      </c>
      <c r="FK30" s="211">
        <f ca="1">IF($D30&lt;&gt;"Serviço",0,IF(AND(AUTOEVENTO="Manual",$M30=1),0,IF(OFFSET(CRONOPLE!$F$14,$M30,FK$13)="",10^12,OFFSET(CRONOPLE!$F$14,$M30,FK$13))))</f>
        <v>1000000000000</v>
      </c>
      <c r="FL30" s="211">
        <f ca="1">IF($D30&lt;&gt;"Serviço",0,IF(AND(AUTOEVENTO="Manual",$M30=1),0,IF(OFFSET(CRONOPLE!$F$14,$M30,FL$13)="",10^12,OFFSET(CRONOPLE!$F$14,$M30,FL$13))))</f>
        <v>1000000000000</v>
      </c>
      <c r="FN30" s="212">
        <f ca="1">IF($D30&lt;&gt;"Serviço",0,IF(OR(AND(AUTOEVENTO="Manual",$M30=1),$M30&gt;(ROW(PLE.lastrow)-ROW(PLE.firstrow))),0,IF(OFFSET(PLE!$G$14,$M30,FN$13)="",10^12,OFFSET(PLE!$G$14,$M30,FN$13))))</f>
        <v>1000000000000</v>
      </c>
      <c r="FO30" s="212">
        <f ca="1">IF($D30&lt;&gt;"Serviço",0,IF(OR(AND(AUTOEVENTO="Manual",$M30=1),$M30&gt;(ROW(PLE.lastrow)-ROW(PLE.firstrow))),0,IF(OFFSET(PLE!$G$14,$M30,FO$13)="",10^12,OFFSET(PLE!$G$14,$M30,FO$13))))</f>
        <v>1000000000000</v>
      </c>
      <c r="FP30" s="212">
        <f ca="1">IF($D30&lt;&gt;"Serviço",0,IF(OR(AND(AUTOEVENTO="Manual",$M30=1),$M30&gt;(ROW(PLE.lastrow)-ROW(PLE.firstrow))),0,IF(OFFSET(PLE!$G$14,$M30,FP$13)="",10^12,OFFSET(PLE!$G$14,$M30,FP$13))))</f>
        <v>1000000000000</v>
      </c>
      <c r="FQ30" s="212">
        <f ca="1">IF($D30&lt;&gt;"Serviço",0,IF(OR(AND(AUTOEVENTO="Manual",$M30=1),$M30&gt;(ROW(PLE.lastrow)-ROW(PLE.firstrow))),0,IF(OFFSET(PLE!$G$14,$M30,FQ$13)="",10^12,OFFSET(PLE!$G$14,$M30,FQ$13))))</f>
        <v>1000000000000</v>
      </c>
      <c r="FR30" s="212">
        <f ca="1">IF($D30&lt;&gt;"Serviço",0,IF(OR(AND(AUTOEVENTO="Manual",$M30=1),$M30&gt;(ROW(PLE.lastrow)-ROW(PLE.firstrow))),0,IF(OFFSET(PLE!$G$14,$M30,FR$13)="",10^12,OFFSET(PLE!$G$14,$M30,FR$13))))</f>
        <v>1000000000000</v>
      </c>
      <c r="FS30" s="212">
        <f ca="1">IF($D30&lt;&gt;"Serviço",0,IF(OR(AND(AUTOEVENTO="Manual",$M30=1),$M30&gt;(ROW(PLE.lastrow)-ROW(PLE.firstrow))),0,IF(OFFSET(PLE!$G$14,$M30,FS$13)="",10^12,OFFSET(PLE!$G$14,$M30,FS$13))))</f>
        <v>1000000000000</v>
      </c>
      <c r="FT30" s="212">
        <f ca="1">IF($D30&lt;&gt;"Serviço",0,IF(OR(AND(AUTOEVENTO="Manual",$M30=1),$M30&gt;(ROW(PLE.lastrow)-ROW(PLE.firstrow))),0,IF(OFFSET(PLE!$G$14,$M30,FT$13)="",10^12,OFFSET(PLE!$G$14,$M30,FT$13))))</f>
        <v>1000000000000</v>
      </c>
      <c r="FU30" s="212">
        <f ca="1">IF($D30&lt;&gt;"Serviço",0,IF(OR(AND(AUTOEVENTO="Manual",$M30=1),$M30&gt;(ROW(PLE.lastrow)-ROW(PLE.firstrow))),0,IF(OFFSET(PLE!$G$14,$M30,FU$13)="",10^12,OFFSET(PLE!$G$14,$M30,FU$13))))</f>
        <v>1000000000000</v>
      </c>
      <c r="FV30" s="212">
        <f ca="1">IF($D30&lt;&gt;"Serviço",0,IF(OR(AND(AUTOEVENTO="Manual",$M30=1),$M30&gt;(ROW(PLE.lastrow)-ROW(PLE.firstrow))),0,IF(OFFSET(PLE!$G$14,$M30,FV$13)="",10^12,OFFSET(PLE!$G$14,$M30,FV$13))))</f>
        <v>1000000000000</v>
      </c>
      <c r="FW30" s="212">
        <f ca="1">IF($D30&lt;&gt;"Serviço",0,IF(OR(AND(AUTOEVENTO="Manual",$M30=1),$M30&gt;(ROW(PLE.lastrow)-ROW(PLE.firstrow))),0,IF(OFFSET(PLE!$G$14,$M30,FW$13)="",10^12,OFFSET(PLE!$G$14,$M30,FW$13))))</f>
        <v>1000000000000</v>
      </c>
      <c r="FX30" s="212">
        <f ca="1">IF($D30&lt;&gt;"Serviço",0,IF(OR(AND(AUTOEVENTO="Manual",$M30=1),$M30&gt;(ROW(PLE.lastrow)-ROW(PLE.firstrow))),0,IF(OFFSET(PLE!$G$14,$M30,FX$13)="",10^12,OFFSET(PLE!$G$14,$M30,FX$13))))</f>
        <v>1000000000000</v>
      </c>
      <c r="FY30" s="212">
        <f ca="1">IF($D30&lt;&gt;"Serviço",0,IF(OR(AND(AUTOEVENTO="Manual",$M30=1),$M30&gt;(ROW(PLE.lastrow)-ROW(PLE.firstrow))),0,IF(OFFSET(PLE!$G$14,$M30,FY$13)="",10^12,OFFSET(PLE!$G$14,$M30,FY$13))))</f>
        <v>1000000000000</v>
      </c>
      <c r="FZ30" s="212">
        <f ca="1">IF($D30&lt;&gt;"Serviço",0,IF(OR(AND(AUTOEVENTO="Manual",$M30=1),$M30&gt;(ROW(PLE.lastrow)-ROW(PLE.firstrow))),0,IF(OFFSET(PLE!$G$14,$M30,FZ$13)="",10^12,OFFSET(PLE!$G$14,$M30,FZ$13))))</f>
        <v>1000000000000</v>
      </c>
      <c r="GA30" s="212">
        <f ca="1">IF($D30&lt;&gt;"Serviço",0,IF(OR(AND(AUTOEVENTO="Manual",$M30=1),$M30&gt;(ROW(PLE.lastrow)-ROW(PLE.firstrow))),0,IF(OFFSET(PLE!$G$14,$M30,GA$13)="",10^12,OFFSET(PLE!$G$14,$M30,GA$13))))</f>
        <v>1000000000000</v>
      </c>
      <c r="GB30" s="212">
        <f ca="1">IF($D30&lt;&gt;"Serviço",0,IF(OR(AND(AUTOEVENTO="Manual",$M30=1),$M30&gt;(ROW(PLE.lastrow)-ROW(PLE.firstrow))),0,IF(OFFSET(PLE!$G$14,$M30,GB$13)="",10^12,OFFSET(PLE!$G$14,$M30,GB$13))))</f>
        <v>1000000000000</v>
      </c>
      <c r="GC30" s="212">
        <f ca="1">IF($D30&lt;&gt;"Serviço",0,IF(OR(AND(AUTOEVENTO="Manual",$M30=1),$M30&gt;(ROW(PLE.lastrow)-ROW(PLE.firstrow))),0,IF(OFFSET(PLE!$G$14,$M30,GC$13)="",10^12,OFFSET(PLE!$G$14,$M30,GC$13))))</f>
        <v>1000000000000</v>
      </c>
      <c r="GD30" s="212">
        <f ca="1">IF($D30&lt;&gt;"Serviço",0,IF(OR(AND(AUTOEVENTO="Manual",$M30=1),$M30&gt;(ROW(PLE.lastrow)-ROW(PLE.firstrow))),0,IF(OFFSET(PLE!$G$14,$M30,GD$13)="",10^12,OFFSET(PLE!$G$14,$M30,GD$13))))</f>
        <v>1000000000000</v>
      </c>
      <c r="GE30" s="212">
        <f ca="1">IF($D30&lt;&gt;"Serviço",0,IF(OR(AND(AUTOEVENTO="Manual",$M30=1),$M30&gt;(ROW(PLE.lastrow)-ROW(PLE.firstrow))),0,IF(OFFSET(PLE!$G$14,$M30,GE$13)="",10^12,OFFSET(PLE!$G$14,$M30,GE$13))))</f>
        <v>1000000000000</v>
      </c>
      <c r="GF30" s="212">
        <f ca="1">IF($D30&lt;&gt;"Serviço",0,IF(OR(AND(AUTOEVENTO="Manual",$M30=1),$M30&gt;(ROW(PLE.lastrow)-ROW(PLE.firstrow))),0,IF(OFFSET(PLE!$G$14,$M30,GF$13)="",10^12,OFFSET(PLE!$G$14,$M30,GF$13))))</f>
        <v>1000000000000</v>
      </c>
      <c r="GG30" s="212">
        <f ca="1">IF($D30&lt;&gt;"Serviço",0,IF(OR(AND(AUTOEVENTO="Manual",$M30=1),$M30&gt;(ROW(PLE.lastrow)-ROW(PLE.firstrow))),0,IF(OFFSET(PLE!$G$14,$M30,GG$13)="",10^12,OFFSET(PLE!$G$14,$M30,GG$13))))</f>
        <v>1000000000000</v>
      </c>
      <c r="GH30" s="212">
        <f ca="1">IF($D30&lt;&gt;"Serviço",0,IF(OR(AND(AUTOEVENTO="Manual",$M30=1),$M30&gt;(ROW(PLE.lastrow)-ROW(PLE.firstrow))),0,IF(OFFSET(PLE!$G$14,$M30,GH$13)="",10^12,OFFSET(PLE!$G$14,$M30,GH$13))))</f>
        <v>1000000000000</v>
      </c>
      <c r="GI30" s="212">
        <f ca="1">IF($D30&lt;&gt;"Serviço",0,IF(OR(AND(AUTOEVENTO="Manual",$M30=1),$M30&gt;(ROW(PLE.lastrow)-ROW(PLE.firstrow))),0,IF(OFFSET(PLE!$G$14,$M30,GI$13)="",10^12,OFFSET(PLE!$G$14,$M30,GI$13))))</f>
        <v>1000000000000</v>
      </c>
      <c r="GJ30" s="212">
        <f ca="1">IF($D30&lt;&gt;"Serviço",0,IF(OR(AND(AUTOEVENTO="Manual",$M30=1),$M30&gt;(ROW(PLE.lastrow)-ROW(PLE.firstrow))),0,IF(OFFSET(PLE!$G$14,$M30,GJ$13)="",10^12,OFFSET(PLE!$G$14,$M30,GJ$13))))</f>
        <v>1000000000000</v>
      </c>
      <c r="GK30" s="212">
        <f ca="1">IF($D30&lt;&gt;"Serviço",0,IF(OR(AND(AUTOEVENTO="Manual",$M30=1),$M30&gt;(ROW(PLE.lastrow)-ROW(PLE.firstrow))),0,IF(OFFSET(PLE!$G$14,$M30,GK$13)="",10^12,OFFSET(PLE!$G$14,$M30,GK$13))))</f>
        <v>1000000000000</v>
      </c>
      <c r="GL30" s="212">
        <f ca="1">IF($D30&lt;&gt;"Serviço",0,IF(OR(AND(AUTOEVENTO="Manual",$M30=1),$M30&gt;(ROW(PLE.lastrow)-ROW(PLE.firstrow))),0,IF(OFFSET(PLE!$G$14,$M30,GL$13)="",10^12,OFFSET(PLE!$G$14,$M30,GL$13))))</f>
        <v>1000000000000</v>
      </c>
      <c r="GM30" s="212">
        <f ca="1">IF($D30&lt;&gt;"Serviço",0,IF(OR(AND(AUTOEVENTO="Manual",$M30=1),$M30&gt;(ROW(PLE.lastrow)-ROW(PLE.firstrow))),0,IF(OFFSET(PLE!$G$14,$M30,GM$13)="",10^12,OFFSET(PLE!$G$14,$M30,GM$13))))</f>
        <v>1000000000000</v>
      </c>
      <c r="GN30" s="212">
        <f ca="1">IF($D30&lt;&gt;"Serviço",0,IF(OR(AND(AUTOEVENTO="Manual",$M30=1),$M30&gt;(ROW(PLE.lastrow)-ROW(PLE.firstrow))),0,IF(OFFSET(PLE!$G$14,$M30,GN$13)="",10^12,OFFSET(PLE!$G$14,$M30,GN$13))))</f>
        <v>1000000000000</v>
      </c>
      <c r="GO30" s="212">
        <f ca="1">IF($D30&lt;&gt;"Serviço",0,IF(OR(AND(AUTOEVENTO="Manual",$M30=1),$M30&gt;(ROW(PLE.lastrow)-ROW(PLE.firstrow))),0,IF(OFFSET(PLE!$G$14,$M30,GO$13)="",10^12,OFFSET(PLE!$G$14,$M30,GO$13))))</f>
        <v>1000000000000</v>
      </c>
      <c r="GP30" s="212">
        <f ca="1">IF($D30&lt;&gt;"Serviço",0,IF(OR(AND(AUTOEVENTO="Manual",$M30=1),$M30&gt;(ROW(PLE.lastrow)-ROW(PLE.firstrow))),0,IF(OFFSET(PLE!$G$14,$M30,GP$13)="",10^12,OFFSET(PLE!$G$14,$M30,GP$13))))</f>
        <v>1000000000000</v>
      </c>
      <c r="GQ30" s="212">
        <f ca="1">IF($D30&lt;&gt;"Serviço",0,IF(OR(AND(AUTOEVENTO="Manual",$M30=1),$M30&gt;(ROW(PLE.lastrow)-ROW(PLE.firstrow))),0,IF(OFFSET(PLE!$G$14,$M30,GQ$13)="",10^12,OFFSET(PLE!$G$14,$M30,GQ$13))))</f>
        <v>1000000000000</v>
      </c>
      <c r="GR30" s="212">
        <f ca="1">IF($D30&lt;&gt;"Serviço",0,IF(OR(AND(AUTOEVENTO="Manual",$M30=1),$M30&gt;(ROW(PLE.lastrow)-ROW(PLE.firstrow))),0,IF(OFFSET(PLE!$G$14,$M30,GR$13)="",10^12,OFFSET(PLE!$G$14,$M30,GR$13))))</f>
        <v>1000000000000</v>
      </c>
      <c r="GS30" s="212">
        <f ca="1">IF($D30&lt;&gt;"Serviço",0,IF(OR(AND(AUTOEVENTO="Manual",$M30=1),$M30&gt;(ROW(PLE.lastrow)-ROW(PLE.firstrow))),0,IF(OFFSET(PLE!$G$14,$M30,GS$13)="",10^12,OFFSET(PLE!$G$14,$M30,GS$13))))</f>
        <v>1000000000000</v>
      </c>
      <c r="GT30" s="212">
        <f ca="1">IF($D30&lt;&gt;"Serviço",0,IF(OR(AND(AUTOEVENTO="Manual",$M30=1),$M30&gt;(ROW(PLE.lastrow)-ROW(PLE.firstrow))),0,IF(OFFSET(PLE!$G$14,$M30,GT$13)="",10^12,OFFSET(PLE!$G$14,$M30,GT$13))))</f>
        <v>1000000000000</v>
      </c>
      <c r="GU30" s="212">
        <f ca="1">IF($D30&lt;&gt;"Serviço",0,IF(OR(AND(AUTOEVENTO="Manual",$M30=1),$M30&gt;(ROW(PLE.lastrow)-ROW(PLE.firstrow))),0,IF(OFFSET(PLE!$G$14,$M30,GU$13)="",10^12,OFFSET(PLE!$G$14,$M30,GU$13))))</f>
        <v>1000000000000</v>
      </c>
      <c r="GV30" s="212">
        <f ca="1">IF($D30&lt;&gt;"Serviço",0,IF(OR(AND(AUTOEVENTO="Manual",$M30=1),$M30&gt;(ROW(PLE.lastrow)-ROW(PLE.firstrow))),0,IF(OFFSET(PLE!$G$14,$M30,GV$13)="",10^12,OFFSET(PLE!$G$14,$M30,GV$13))))</f>
        <v>1000000000000</v>
      </c>
      <c r="GW30" s="212">
        <f ca="1">IF($D30&lt;&gt;"Serviço",0,IF(OR(AND(AUTOEVENTO="Manual",$M30=1),$M30&gt;(ROW(PLE.lastrow)-ROW(PLE.firstrow))),0,IF(OFFSET(PLE!$G$14,$M30,GW$13)="",10^12,OFFSET(PLE!$G$14,$M30,GW$13))))</f>
        <v>1000000000000</v>
      </c>
      <c r="GX30" s="212">
        <f ca="1">IF($D30&lt;&gt;"Serviço",0,IF(OR(AND(AUTOEVENTO="Manual",$M30=1),$M30&gt;(ROW(PLE.lastrow)-ROW(PLE.firstrow))),0,IF(OFFSET(PLE!$G$14,$M30,GX$13)="",10^12,OFFSET(PLE!$G$14,$M30,GX$13))))</f>
        <v>1000000000000</v>
      </c>
      <c r="GY30" s="212">
        <f ca="1">IF($D30&lt;&gt;"Serviço",0,IF(OR(AND(AUTOEVENTO="Manual",$M30=1),$M30&gt;(ROW(PLE.lastrow)-ROW(PLE.firstrow))),0,IF(OFFSET(PLE!$G$14,$M30,GY$13)="",10^12,OFFSET(PLE!$G$14,$M30,GY$13))))</f>
        <v>1000000000000</v>
      </c>
      <c r="GZ30" s="212">
        <f ca="1">IF($D30&lt;&gt;"Serviço",0,IF(OR(AND(AUTOEVENTO="Manual",$M30=1),$M30&gt;(ROW(PLE.lastrow)-ROW(PLE.firstrow))),0,IF(OFFSET(PLE!$G$14,$M30,GZ$13)="",10^12,OFFSET(PLE!$G$14,$M30,GZ$13))))</f>
        <v>1000000000000</v>
      </c>
      <c r="HA30" s="212">
        <f ca="1">IF($D30&lt;&gt;"Serviço",0,IF(OR(AND(AUTOEVENTO="Manual",$M30=1),$M30&gt;(ROW(PLE.lastrow)-ROW(PLE.firstrow))),0,IF(OFFSET(PLE!$G$14,$M30,HA$13)="",10^12,OFFSET(PLE!$G$14,$M30,HA$13))))</f>
        <v>1000000000000</v>
      </c>
      <c r="HB30" s="212">
        <f ca="1">IF($D30&lt;&gt;"Serviço",0,IF(OR(AND(AUTOEVENTO="Manual",$M30=1),$M30&gt;(ROW(PLE.lastrow)-ROW(PLE.firstrow))),0,IF(OFFSET(PLE!$G$14,$M30,HB$13)="",10^12,OFFSET(PLE!$G$14,$M30,HB$13))))</f>
        <v>1000000000000</v>
      </c>
      <c r="HC30" s="212">
        <f ca="1">IF($D30&lt;&gt;"Serviço",0,IF(OR(AND(AUTOEVENTO="Manual",$M30=1),$M30&gt;(ROW(PLE.lastrow)-ROW(PLE.firstrow))),0,IF(OFFSET(PLE!$G$14,$M30,HC$13)="",10^12,OFFSET(PLE!$G$14,$M30,HC$13))))</f>
        <v>1000000000000</v>
      </c>
      <c r="HD30" s="212">
        <f ca="1">IF($D30&lt;&gt;"Serviço",0,IF(OR(AND(AUTOEVENTO="Manual",$M30=1),$M30&gt;(ROW(PLE.lastrow)-ROW(PLE.firstrow))),0,IF(OFFSET(PLE!$G$14,$M30,HD$13)="",10^12,OFFSET(PLE!$G$14,$M30,HD$13))))</f>
        <v>1000000000000</v>
      </c>
      <c r="HE30" s="212">
        <f ca="1">IF($D30&lt;&gt;"Serviço",0,IF(OR(AND(AUTOEVENTO="Manual",$M30=1),$M30&gt;(ROW(PLE.lastrow)-ROW(PLE.firstrow))),0,IF(OFFSET(PLE!$G$14,$M30,HE$13)="",10^12,OFFSET(PLE!$G$14,$M30,HE$13))))</f>
        <v>1000000000000</v>
      </c>
      <c r="HF30" s="212">
        <f ca="1">IF($D30&lt;&gt;"Serviço",0,IF(OR(AND(AUTOEVENTO="Manual",$M30=1),$M30&gt;(ROW(PLE.lastrow)-ROW(PLE.firstrow))),0,IF(OFFSET(PLE!$G$14,$M30,HF$13)="",10^12,OFFSET(PLE!$G$14,$M30,HF$13))))</f>
        <v>1000000000000</v>
      </c>
      <c r="HG30" s="212">
        <f ca="1">IF($D30&lt;&gt;"Serviço",0,IF(OR(AND(AUTOEVENTO="Manual",$M30=1),$M30&gt;(ROW(PLE.lastrow)-ROW(PLE.firstrow))),0,IF(OFFSET(PLE!$G$14,$M30,HG$13)="",10^12,OFFSET(PLE!$G$14,$M30,HG$13))))</f>
        <v>1000000000000</v>
      </c>
      <c r="HH30" s="212">
        <f ca="1">IF($D30&lt;&gt;"Serviço",0,IF(OR(AND(AUTOEVENTO="Manual",$M30=1),$M30&gt;(ROW(PLE.lastrow)-ROW(PLE.firstrow))),0,IF(OFFSET(PLE!$G$14,$M30,HH$13)="",10^12,OFFSET(PLE!$G$14,$M30,HH$13))))</f>
        <v>1000000000000</v>
      </c>
      <c r="HI30" s="212">
        <f ca="1">IF($D30&lt;&gt;"Serviço",0,IF(OR(AND(AUTOEVENTO="Manual",$M30=1),$M30&gt;(ROW(PLE.lastrow)-ROW(PLE.firstrow))),0,IF(OFFSET(PLE!$G$14,$M30,HI$13)="",10^12,OFFSET(PLE!$G$14,$M30,HI$13))))</f>
        <v>1000000000000</v>
      </c>
      <c r="HJ30" s="212">
        <f ca="1">IF($D30&lt;&gt;"Serviço",0,IF(OR(AND(AUTOEVENTO="Manual",$M30=1),$M30&gt;(ROW(PLE.lastrow)-ROW(PLE.firstrow))),0,IF(OFFSET(PLE!$G$14,$M30,HJ$13)="",10^12,OFFSET(PLE!$G$14,$M30,HJ$13))))</f>
        <v>1000000000000</v>
      </c>
      <c r="HK30" s="212">
        <f ca="1">IF($D30&lt;&gt;"Serviço",0,IF(OR(AND(AUTOEVENTO="Manual",$M30=1),$M30&gt;(ROW(PLE.lastrow)-ROW(PLE.firstrow))),0,IF(OFFSET(PLE!$G$14,$M30,HK$13)="",10^12,OFFSET(PLE!$G$14,$M30,HK$13))))</f>
        <v>1000000000000</v>
      </c>
    </row>
    <row r="31" spans="1:219" ht="51" x14ac:dyDescent="0.2">
      <c r="A31" s="9" t="str">
        <f t="shared" ca="1" si="10"/>
        <v>13</v>
      </c>
      <c r="B31" s="9" t="str">
        <f ca="1">OFFSET(ORÇAMENTO!C$15,ROW(B31)-ROW(B$15),0)</f>
        <v>S</v>
      </c>
      <c r="C31" s="9" t="str">
        <f ca="1">OFFSET(ORÇAMENTO!L$15,ROW(C31)-ROW(C$15),0)</f>
        <v>F</v>
      </c>
      <c r="D31" s="141" t="str">
        <f ca="1">OFFSET(ORÇAMENTO!N$15,ROW(D31)-ROW(D$15),0)</f>
        <v>Serviço</v>
      </c>
      <c r="E31" s="201" t="str">
        <f ca="1">OFFSET(ORÇAMENTO!O$15,ROW(E31)-ROW(E$15),0)</f>
        <v>1.5.3.</v>
      </c>
      <c r="F31" s="202" t="str">
        <f ca="1">OFFSET(ORÇAMENTO!R$15,ROW(F31)-ROW(F$15),0)</f>
        <v>Placa de regulamentação em aço D = 0,60 m - película retrorrefletiva tipo I + SI - fornecimento e implantação</v>
      </c>
      <c r="G31" s="203" t="str">
        <f ca="1">IF($D31&lt;&gt;"Serviço","",OFFSET(ORÇAMENTO!S$15,ROW(G31)-ROW(G$15),0))</f>
        <v>Unidade</v>
      </c>
      <c r="H31" s="147">
        <f ca="1">IF($D31&lt;&gt;"Serviço",0,IF(ACOMPANHAMENTO="BM",ROUND(OFFSET(ORÇAMENTO!AJ$15,ROW(H31)-ROW(H$15),0),15-13*ORÇAMENTO!$AF$7),SUMPRODUCT(($Q$12:$BO$12&lt;&gt;"")*ROUND($Q31:$BO31,15-13*ORÇAMENTO!$AF$7))))</f>
        <v>2</v>
      </c>
      <c r="I31" s="646" t="s">
        <v>496</v>
      </c>
      <c r="K31" s="204"/>
      <c r="L31" s="205" t="s">
        <v>257</v>
      </c>
      <c r="M31" s="206">
        <f ca="1">IF($D31&lt;&gt;"Serviço","",IF(AUTOEVENTO="manual",$A31,IF(ISERROR(MATCH($A31,$A$15:OFFSET($A31,-1,0),0)),MAX($M$15:OFFSET(M31,-1,0))+1,INDEX($M$15:OFFSET(M31,-1,0),MATCH($A31,$A$15:OFFSET($A31,-1,0),0)))))</f>
        <v>6</v>
      </c>
      <c r="N31" s="207" t="str">
        <f ca="1">IF($D31&lt;&gt;"Serviço","",IF(AUTOEVENTO="Manual",IF($A31=0,"&lt;-- defina o número do agrupador",OFFSET(EVENTOS!$D$14,$A31,0)),OFFSET($F$15,$A31,0)))</f>
        <v>SINALIZAÇÃO VIÁRIA</v>
      </c>
      <c r="O31" s="208"/>
      <c r="Q31" s="208"/>
      <c r="R31" s="209">
        <v>2</v>
      </c>
      <c r="S31" s="209"/>
      <c r="T31" s="209"/>
      <c r="U31" s="209"/>
      <c r="V31" s="209"/>
      <c r="W31" s="209"/>
      <c r="X31" s="209"/>
      <c r="Y31" s="209"/>
      <c r="Z31" s="210"/>
      <c r="AA31" s="209"/>
      <c r="AB31" s="209"/>
      <c r="AC31" s="209"/>
      <c r="AD31" s="209"/>
      <c r="AE31" s="209"/>
      <c r="AF31" s="209"/>
      <c r="AG31" s="209"/>
      <c r="AH31" s="210"/>
      <c r="AI31" s="209"/>
      <c r="AJ31" s="209"/>
      <c r="AK31" s="209"/>
      <c r="AL31" s="209"/>
      <c r="AM31" s="209"/>
      <c r="AN31" s="209"/>
      <c r="AO31" s="209"/>
      <c r="AP31" s="210"/>
      <c r="AQ31" s="209"/>
      <c r="AR31" s="209"/>
      <c r="AS31" s="209"/>
      <c r="AT31" s="209"/>
      <c r="AU31" s="209"/>
      <c r="AV31" s="209"/>
      <c r="AW31" s="209"/>
      <c r="AX31" s="210"/>
      <c r="AY31" s="209"/>
      <c r="AZ31" s="209"/>
      <c r="BA31" s="209"/>
      <c r="BB31" s="209"/>
      <c r="BC31" s="209"/>
      <c r="BD31" s="209"/>
      <c r="BE31" s="209"/>
      <c r="BF31" s="210"/>
      <c r="BG31" s="209"/>
      <c r="BH31" s="209"/>
      <c r="BI31" s="209"/>
      <c r="BJ31" s="209"/>
      <c r="BK31" s="209"/>
      <c r="BL31" s="209"/>
      <c r="BM31" s="209"/>
      <c r="BN31" s="210"/>
      <c r="BP31" s="627">
        <f ca="1">IF(AND($D31="Serviço",BP$12&lt;&gt;0,$H31&gt;0,OR(AUTOEVENTO&lt;&gt;"manual",$M31&lt;&gt;1)),ROUND(OFFSET($P31,0,BP$13),15-13*ORÇAMENTO!$AF$7)/$H31*OFFSET(ORÇAMENTO!$X$15,ROW(BP31)-ROW(BP$15),0),0)</f>
        <v>0</v>
      </c>
      <c r="BQ31" s="628">
        <f ca="1">IF(AND($D31="Serviço",BQ$12&lt;&gt;0,$H31&gt;0,OR(AUTOEVENTO&lt;&gt;"manual",$M31&lt;&gt;1)),ROUND(OFFSET($P31,0,BQ$13),15-13*ORÇAMENTO!$AF$7)/$H31*OFFSET(ORÇAMENTO!$X$15,ROW(BQ31)-ROW(BQ$15),0),0)</f>
        <v>602.58000000000004</v>
      </c>
      <c r="BR31" s="628">
        <f ca="1">IF(AND($D31="Serviço",BR$12&lt;&gt;0,$H31&gt;0,OR(AUTOEVENTO&lt;&gt;"manual",$M31&lt;&gt;1)),ROUND(OFFSET($P31,0,BR$13),15-13*ORÇAMENTO!$AF$7)/$H31*OFFSET(ORÇAMENTO!$X$15,ROW(BR31)-ROW(BR$15),0),0)</f>
        <v>0</v>
      </c>
      <c r="BS31" s="628">
        <f ca="1">IF(AND($D31="Serviço",BS$12&lt;&gt;0,$H31&gt;0,OR(AUTOEVENTO&lt;&gt;"manual",$M31&lt;&gt;1)),ROUND(OFFSET($P31,0,BS$13),15-13*ORÇAMENTO!$AF$7)/$H31*OFFSET(ORÇAMENTO!$X$15,ROW(BS31)-ROW(BS$15),0),0)</f>
        <v>0</v>
      </c>
      <c r="BT31" s="628">
        <f ca="1">IF(AND($D31="Serviço",BT$12&lt;&gt;0,$H31&gt;0,OR(AUTOEVENTO&lt;&gt;"manual",$M31&lt;&gt;1)),ROUND(OFFSET($P31,0,BT$13),15-13*ORÇAMENTO!$AF$7)/$H31*OFFSET(ORÇAMENTO!$X$15,ROW(BT31)-ROW(BT$15),0),0)</f>
        <v>0</v>
      </c>
      <c r="BU31" s="628">
        <f ca="1">IF(AND($D31="Serviço",BU$12&lt;&gt;0,$H31&gt;0,OR(AUTOEVENTO&lt;&gt;"manual",$M31&lt;&gt;1)),ROUND(OFFSET($P31,0,BU$13),15-13*ORÇAMENTO!$AF$7)/$H31*OFFSET(ORÇAMENTO!$X$15,ROW(BU31)-ROW(BU$15),0),0)</f>
        <v>0</v>
      </c>
      <c r="BV31" s="628">
        <f ca="1">IF(AND($D31="Serviço",BV$12&lt;&gt;0,$H31&gt;0,OR(AUTOEVENTO&lt;&gt;"manual",$M31&lt;&gt;1)),ROUND(OFFSET($P31,0,BV$13),15-13*ORÇAMENTO!$AF$7)/$H31*OFFSET(ORÇAMENTO!$X$15,ROW(BV31)-ROW(BV$15),0),0)</f>
        <v>0</v>
      </c>
      <c r="BW31" s="628">
        <f ca="1">IF(AND($D31="Serviço",BW$12&lt;&gt;0,$H31&gt;0,OR(AUTOEVENTO&lt;&gt;"manual",$M31&lt;&gt;1)),ROUND(OFFSET($P31,0,BW$13),15-13*ORÇAMENTO!$AF$7)/$H31*OFFSET(ORÇAMENTO!$X$15,ROW(BW31)-ROW(BW$15),0),0)</f>
        <v>0</v>
      </c>
      <c r="BX31" s="628">
        <f ca="1">IF(AND($D31="Serviço",BX$12&lt;&gt;0,$H31&gt;0,OR(AUTOEVENTO&lt;&gt;"manual",$M31&lt;&gt;1)),ROUND(OFFSET($P31,0,BX$13),15-13*ORÇAMENTO!$AF$7)/$H31*OFFSET(ORÇAMENTO!$X$15,ROW(BX31)-ROW(BX$15),0),0)</f>
        <v>0</v>
      </c>
      <c r="BY31" s="629">
        <f ca="1">IF(AND($D31="Serviço",BY$12&lt;&gt;0,$H31&gt;0,OR(AUTOEVENTO&lt;&gt;"manual",$M31&lt;&gt;1)),ROUND(OFFSET($P31,0,BY$13),15-13*ORÇAMENTO!$AF$7)/$H31*OFFSET(ORÇAMENTO!$X$15,ROW(BY31)-ROW(BY$15),0),0)</f>
        <v>0</v>
      </c>
      <c r="BZ31" s="628">
        <f ca="1">IF(AND($D31="Serviço",BZ$12&lt;&gt;0,$H31&gt;0,OR(AUTOEVENTO&lt;&gt;"manual",$M31&lt;&gt;1)),ROUND(OFFSET($P31,0,BZ$13),15-13*ORÇAMENTO!$AF$7)/$H31*OFFSET(ORÇAMENTO!$X$15,ROW(BZ31)-ROW(BZ$15),0),0)</f>
        <v>0</v>
      </c>
      <c r="CA31" s="628">
        <f ca="1">IF(AND($D31="Serviço",CA$12&lt;&gt;0,$H31&gt;0,OR(AUTOEVENTO&lt;&gt;"manual",$M31&lt;&gt;1)),ROUND(OFFSET($P31,0,CA$13),15-13*ORÇAMENTO!$AF$7)/$H31*OFFSET(ORÇAMENTO!$X$15,ROW(CA31)-ROW(CA$15),0),0)</f>
        <v>0</v>
      </c>
      <c r="CB31" s="628">
        <f ca="1">IF(AND($D31="Serviço",CB$12&lt;&gt;0,$H31&gt;0,OR(AUTOEVENTO&lt;&gt;"manual",$M31&lt;&gt;1)),ROUND(OFFSET($P31,0,CB$13),15-13*ORÇAMENTO!$AF$7)/$H31*OFFSET(ORÇAMENTO!$X$15,ROW(CB31)-ROW(CB$15),0),0)</f>
        <v>0</v>
      </c>
      <c r="CC31" s="628">
        <f ca="1">IF(AND($D31="Serviço",CC$12&lt;&gt;0,$H31&gt;0,OR(AUTOEVENTO&lt;&gt;"manual",$M31&lt;&gt;1)),ROUND(OFFSET($P31,0,CC$13),15-13*ORÇAMENTO!$AF$7)/$H31*OFFSET(ORÇAMENTO!$X$15,ROW(CC31)-ROW(CC$15),0),0)</f>
        <v>0</v>
      </c>
      <c r="CD31" s="628">
        <f ca="1">IF(AND($D31="Serviço",CD$12&lt;&gt;0,$H31&gt;0,OR(AUTOEVENTO&lt;&gt;"manual",$M31&lt;&gt;1)),ROUND(OFFSET($P31,0,CD$13),15-13*ORÇAMENTO!$AF$7)/$H31*OFFSET(ORÇAMENTO!$X$15,ROW(CD31)-ROW(CD$15),0),0)</f>
        <v>0</v>
      </c>
      <c r="CE31" s="628">
        <f ca="1">IF(AND($D31="Serviço",CE$12&lt;&gt;0,$H31&gt;0,OR(AUTOEVENTO&lt;&gt;"manual",$M31&lt;&gt;1)),ROUND(OFFSET($P31,0,CE$13),15-13*ORÇAMENTO!$AF$7)/$H31*OFFSET(ORÇAMENTO!$X$15,ROW(CE31)-ROW(CE$15),0),0)</f>
        <v>0</v>
      </c>
      <c r="CF31" s="628">
        <f ca="1">IF(AND($D31="Serviço",CF$12&lt;&gt;0,$H31&gt;0,OR(AUTOEVENTO&lt;&gt;"manual",$M31&lt;&gt;1)),ROUND(OFFSET($P31,0,CF$13),15-13*ORÇAMENTO!$AF$7)/$H31*OFFSET(ORÇAMENTO!$X$15,ROW(CF31)-ROW(CF$15),0),0)</f>
        <v>0</v>
      </c>
      <c r="CG31" s="629">
        <f ca="1">IF(AND($D31="Serviço",CG$12&lt;&gt;0,$H31&gt;0,OR(AUTOEVENTO&lt;&gt;"manual",$M31&lt;&gt;1)),ROUND(OFFSET($P31,0,CG$13),15-13*ORÇAMENTO!$AF$7)/$H31*OFFSET(ORÇAMENTO!$X$15,ROW(CG31)-ROW(CG$15),0),0)</f>
        <v>0</v>
      </c>
      <c r="CH31" s="628">
        <f ca="1">IF(AND($D31="Serviço",CH$12&lt;&gt;0,$H31&gt;0,OR(AUTOEVENTO&lt;&gt;"manual",$M31&lt;&gt;1)),ROUND(OFFSET($P31,0,CH$13),15-13*ORÇAMENTO!$AF$7)/$H31*OFFSET(ORÇAMENTO!$X$15,ROW(CH31)-ROW(CH$15),0),0)</f>
        <v>0</v>
      </c>
      <c r="CI31" s="628">
        <f ca="1">IF(AND($D31="Serviço",CI$12&lt;&gt;0,$H31&gt;0,OR(AUTOEVENTO&lt;&gt;"manual",$M31&lt;&gt;1)),ROUND(OFFSET($P31,0,CI$13),15-13*ORÇAMENTO!$AF$7)/$H31*OFFSET(ORÇAMENTO!$X$15,ROW(CI31)-ROW(CI$15),0),0)</f>
        <v>0</v>
      </c>
      <c r="CJ31" s="628">
        <f ca="1">IF(AND($D31="Serviço",CJ$12&lt;&gt;0,$H31&gt;0,OR(AUTOEVENTO&lt;&gt;"manual",$M31&lt;&gt;1)),ROUND(OFFSET($P31,0,CJ$13),15-13*ORÇAMENTO!$AF$7)/$H31*OFFSET(ORÇAMENTO!$X$15,ROW(CJ31)-ROW(CJ$15),0),0)</f>
        <v>0</v>
      </c>
      <c r="CK31" s="628">
        <f ca="1">IF(AND($D31="Serviço",CK$12&lt;&gt;0,$H31&gt;0,OR(AUTOEVENTO&lt;&gt;"manual",$M31&lt;&gt;1)),ROUND(OFFSET($P31,0,CK$13),15-13*ORÇAMENTO!$AF$7)/$H31*OFFSET(ORÇAMENTO!$X$15,ROW(CK31)-ROW(CK$15),0),0)</f>
        <v>0</v>
      </c>
      <c r="CL31" s="628">
        <f ca="1">IF(AND($D31="Serviço",CL$12&lt;&gt;0,$H31&gt;0,OR(AUTOEVENTO&lt;&gt;"manual",$M31&lt;&gt;1)),ROUND(OFFSET($P31,0,CL$13),15-13*ORÇAMENTO!$AF$7)/$H31*OFFSET(ORÇAMENTO!$X$15,ROW(CL31)-ROW(CL$15),0),0)</f>
        <v>0</v>
      </c>
      <c r="CM31" s="628">
        <f ca="1">IF(AND($D31="Serviço",CM$12&lt;&gt;0,$H31&gt;0,OR(AUTOEVENTO&lt;&gt;"manual",$M31&lt;&gt;1)),ROUND(OFFSET($P31,0,CM$13),15-13*ORÇAMENTO!$AF$7)/$H31*OFFSET(ORÇAMENTO!$X$15,ROW(CM31)-ROW(CM$15),0),0)</f>
        <v>0</v>
      </c>
      <c r="CN31" s="628">
        <f ca="1">IF(AND($D31="Serviço",CN$12&lt;&gt;0,$H31&gt;0,OR(AUTOEVENTO&lt;&gt;"manual",$M31&lt;&gt;1)),ROUND(OFFSET($P31,0,CN$13),15-13*ORÇAMENTO!$AF$7)/$H31*OFFSET(ORÇAMENTO!$X$15,ROW(CN31)-ROW(CN$15),0),0)</f>
        <v>0</v>
      </c>
      <c r="CO31" s="629">
        <f ca="1">IF(AND($D31="Serviço",CO$12&lt;&gt;0,$H31&gt;0,OR(AUTOEVENTO&lt;&gt;"manual",$M31&lt;&gt;1)),ROUND(OFFSET($P31,0,CO$13),15-13*ORÇAMENTO!$AF$7)/$H31*OFFSET(ORÇAMENTO!$X$15,ROW(CO31)-ROW(CO$15),0),0)</f>
        <v>0</v>
      </c>
      <c r="CP31" s="628">
        <f ca="1">IF(AND($D31="Serviço",CP$12&lt;&gt;0,$H31&gt;0,OR(AUTOEVENTO&lt;&gt;"manual",$M31&lt;&gt;1)),ROUND(OFFSET($P31,0,CP$13),15-13*ORÇAMENTO!$AF$7)/$H31*OFFSET(ORÇAMENTO!$X$15,ROW(CP31)-ROW(CP$15),0),0)</f>
        <v>0</v>
      </c>
      <c r="CQ31" s="628">
        <f ca="1">IF(AND($D31="Serviço",CQ$12&lt;&gt;0,$H31&gt;0,OR(AUTOEVENTO&lt;&gt;"manual",$M31&lt;&gt;1)),ROUND(OFFSET($P31,0,CQ$13),15-13*ORÇAMENTO!$AF$7)/$H31*OFFSET(ORÇAMENTO!$X$15,ROW(CQ31)-ROW(CQ$15),0),0)</f>
        <v>0</v>
      </c>
      <c r="CR31" s="628">
        <f ca="1">IF(AND($D31="Serviço",CR$12&lt;&gt;0,$H31&gt;0,OR(AUTOEVENTO&lt;&gt;"manual",$M31&lt;&gt;1)),ROUND(OFFSET($P31,0,CR$13),15-13*ORÇAMENTO!$AF$7)/$H31*OFFSET(ORÇAMENTO!$X$15,ROW(CR31)-ROW(CR$15),0),0)</f>
        <v>0</v>
      </c>
      <c r="CS31" s="628">
        <f ca="1">IF(AND($D31="Serviço",CS$12&lt;&gt;0,$H31&gt;0,OR(AUTOEVENTO&lt;&gt;"manual",$M31&lt;&gt;1)),ROUND(OFFSET($P31,0,CS$13),15-13*ORÇAMENTO!$AF$7)/$H31*OFFSET(ORÇAMENTO!$X$15,ROW(CS31)-ROW(CS$15),0),0)</f>
        <v>0</v>
      </c>
      <c r="CT31" s="628">
        <f ca="1">IF(AND($D31="Serviço",CT$12&lt;&gt;0,$H31&gt;0,OR(AUTOEVENTO&lt;&gt;"manual",$M31&lt;&gt;1)),ROUND(OFFSET($P31,0,CT$13),15-13*ORÇAMENTO!$AF$7)/$H31*OFFSET(ORÇAMENTO!$X$15,ROW(CT31)-ROW(CT$15),0),0)</f>
        <v>0</v>
      </c>
      <c r="CU31" s="628">
        <f ca="1">IF(AND($D31="Serviço",CU$12&lt;&gt;0,$H31&gt;0,OR(AUTOEVENTO&lt;&gt;"manual",$M31&lt;&gt;1)),ROUND(OFFSET($P31,0,CU$13),15-13*ORÇAMENTO!$AF$7)/$H31*OFFSET(ORÇAMENTO!$X$15,ROW(CU31)-ROW(CU$15),0),0)</f>
        <v>0</v>
      </c>
      <c r="CV31" s="628">
        <f ca="1">IF(AND($D31="Serviço",CV$12&lt;&gt;0,$H31&gt;0,OR(AUTOEVENTO&lt;&gt;"manual",$M31&lt;&gt;1)),ROUND(OFFSET($P31,0,CV$13),15-13*ORÇAMENTO!$AF$7)/$H31*OFFSET(ORÇAMENTO!$X$15,ROW(CV31)-ROW(CV$15),0),0)</f>
        <v>0</v>
      </c>
      <c r="CW31" s="629">
        <f ca="1">IF(AND($D31="Serviço",CW$12&lt;&gt;0,$H31&gt;0,OR(AUTOEVENTO&lt;&gt;"manual",$M31&lt;&gt;1)),ROUND(OFFSET($P31,0,CW$13),15-13*ORÇAMENTO!$AF$7)/$H31*OFFSET(ORÇAMENTO!$X$15,ROW(CW31)-ROW(CW$15),0),0)</f>
        <v>0</v>
      </c>
      <c r="CX31" s="628">
        <f ca="1">IF(AND($D31="Serviço",CX$12&lt;&gt;0,$H31&gt;0,OR(AUTOEVENTO&lt;&gt;"manual",$M31&lt;&gt;1)),ROUND(OFFSET($P31,0,CX$13),15-13*ORÇAMENTO!$AF$7)/$H31*OFFSET(ORÇAMENTO!$X$15,ROW(CX31)-ROW(CX$15),0),0)</f>
        <v>0</v>
      </c>
      <c r="CY31" s="628">
        <f ca="1">IF(AND($D31="Serviço",CY$12&lt;&gt;0,$H31&gt;0,OR(AUTOEVENTO&lt;&gt;"manual",$M31&lt;&gt;1)),ROUND(OFFSET($P31,0,CY$13),15-13*ORÇAMENTO!$AF$7)/$H31*OFFSET(ORÇAMENTO!$X$15,ROW(CY31)-ROW(CY$15),0),0)</f>
        <v>0</v>
      </c>
      <c r="CZ31" s="628">
        <f ca="1">IF(AND($D31="Serviço",CZ$12&lt;&gt;0,$H31&gt;0,OR(AUTOEVENTO&lt;&gt;"manual",$M31&lt;&gt;1)),ROUND(OFFSET($P31,0,CZ$13),15-13*ORÇAMENTO!$AF$7)/$H31*OFFSET(ORÇAMENTO!$X$15,ROW(CZ31)-ROW(CZ$15),0),0)</f>
        <v>0</v>
      </c>
      <c r="DA31" s="628">
        <f ca="1">IF(AND($D31="Serviço",DA$12&lt;&gt;0,$H31&gt;0,OR(AUTOEVENTO&lt;&gt;"manual",$M31&lt;&gt;1)),ROUND(OFFSET($P31,0,DA$13),15-13*ORÇAMENTO!$AF$7)/$H31*OFFSET(ORÇAMENTO!$X$15,ROW(DA31)-ROW(DA$15),0),0)</f>
        <v>0</v>
      </c>
      <c r="DB31" s="628">
        <f ca="1">IF(AND($D31="Serviço",DB$12&lt;&gt;0,$H31&gt;0,OR(AUTOEVENTO&lt;&gt;"manual",$M31&lt;&gt;1)),ROUND(OFFSET($P31,0,DB$13),15-13*ORÇAMENTO!$AF$7)/$H31*OFFSET(ORÇAMENTO!$X$15,ROW(DB31)-ROW(DB$15),0),0)</f>
        <v>0</v>
      </c>
      <c r="DC31" s="628">
        <f ca="1">IF(AND($D31="Serviço",DC$12&lt;&gt;0,$H31&gt;0,OR(AUTOEVENTO&lt;&gt;"manual",$M31&lt;&gt;1)),ROUND(OFFSET($P31,0,DC$13),15-13*ORÇAMENTO!$AF$7)/$H31*OFFSET(ORÇAMENTO!$X$15,ROW(DC31)-ROW(DC$15),0),0)</f>
        <v>0</v>
      </c>
      <c r="DD31" s="628">
        <f ca="1">IF(AND($D31="Serviço",DD$12&lt;&gt;0,$H31&gt;0,OR(AUTOEVENTO&lt;&gt;"manual",$M31&lt;&gt;1)),ROUND(OFFSET($P31,0,DD$13),15-13*ORÇAMENTO!$AF$7)/$H31*OFFSET(ORÇAMENTO!$X$15,ROW(DD31)-ROW(DD$15),0),0)</f>
        <v>0</v>
      </c>
      <c r="DE31" s="629">
        <f ca="1">IF(AND($D31="Serviço",DE$12&lt;&gt;0,$H31&gt;0,OR(AUTOEVENTO&lt;&gt;"manual",$M31&lt;&gt;1)),ROUND(OFFSET($P31,0,DE$13),15-13*ORÇAMENTO!$AF$7)/$H31*OFFSET(ORÇAMENTO!$X$15,ROW(DE31)-ROW(DE$15),0),0)</f>
        <v>0</v>
      </c>
      <c r="DF31" s="628">
        <f ca="1">IF(AND($D31="Serviço",DF$12&lt;&gt;0,$H31&gt;0,OR(AUTOEVENTO&lt;&gt;"manual",$M31&lt;&gt;1)),ROUND(OFFSET($P31,0,DF$13),15-13*ORÇAMENTO!$AF$7)/$H31*OFFSET(ORÇAMENTO!$X$15,ROW(DF31)-ROW(DF$15),0),0)</f>
        <v>0</v>
      </c>
      <c r="DG31" s="628">
        <f ca="1">IF(AND($D31="Serviço",DG$12&lt;&gt;0,$H31&gt;0,OR(AUTOEVENTO&lt;&gt;"manual",$M31&lt;&gt;1)),ROUND(OFFSET($P31,0,DG$13),15-13*ORÇAMENTO!$AF$7)/$H31*OFFSET(ORÇAMENTO!$X$15,ROW(DG31)-ROW(DG$15),0),0)</f>
        <v>0</v>
      </c>
      <c r="DH31" s="628">
        <f ca="1">IF(AND($D31="Serviço",DH$12&lt;&gt;0,$H31&gt;0,OR(AUTOEVENTO&lt;&gt;"manual",$M31&lt;&gt;1)),ROUND(OFFSET($P31,0,DH$13),15-13*ORÇAMENTO!$AF$7)/$H31*OFFSET(ORÇAMENTO!$X$15,ROW(DH31)-ROW(DH$15),0),0)</f>
        <v>0</v>
      </c>
      <c r="DI31" s="628">
        <f ca="1">IF(AND($D31="Serviço",DI$12&lt;&gt;0,$H31&gt;0,OR(AUTOEVENTO&lt;&gt;"manual",$M31&lt;&gt;1)),ROUND(OFFSET($P31,0,DI$13),15-13*ORÇAMENTO!$AF$7)/$H31*OFFSET(ORÇAMENTO!$X$15,ROW(DI31)-ROW(DI$15),0),0)</f>
        <v>0</v>
      </c>
      <c r="DJ31" s="628">
        <f ca="1">IF(AND($D31="Serviço",DJ$12&lt;&gt;0,$H31&gt;0,OR(AUTOEVENTO&lt;&gt;"manual",$M31&lt;&gt;1)),ROUND(OFFSET($P31,0,DJ$13),15-13*ORÇAMENTO!$AF$7)/$H31*OFFSET(ORÇAMENTO!$X$15,ROW(DJ31)-ROW(DJ$15),0),0)</f>
        <v>0</v>
      </c>
      <c r="DK31" s="628">
        <f ca="1">IF(AND($D31="Serviço",DK$12&lt;&gt;0,$H31&gt;0,OR(AUTOEVENTO&lt;&gt;"manual",$M31&lt;&gt;1)),ROUND(OFFSET($P31,0,DK$13),15-13*ORÇAMENTO!$AF$7)/$H31*OFFSET(ORÇAMENTO!$X$15,ROW(DK31)-ROW(DK$15),0),0)</f>
        <v>0</v>
      </c>
      <c r="DL31" s="628">
        <f ca="1">IF(AND($D31="Serviço",DL$12&lt;&gt;0,$H31&gt;0,OR(AUTOEVENTO&lt;&gt;"manual",$M31&lt;&gt;1)),ROUND(OFFSET($P31,0,DL$13),15-13*ORÇAMENTO!$AF$7)/$H31*OFFSET(ORÇAMENTO!$X$15,ROW(DL31)-ROW(DL$15),0),0)</f>
        <v>0</v>
      </c>
      <c r="DM31" s="629">
        <f ca="1">IF(AND($D31="Serviço",DM$12&lt;&gt;0,$H31&gt;0,OR(AUTOEVENTO&lt;&gt;"manual",$M31&lt;&gt;1)),ROUND(OFFSET($P31,0,DM$13),15-13*ORÇAMENTO!$AF$7)/$H31*OFFSET(ORÇAMENTO!$X$15,ROW(DM31)-ROW(DM$15),0),0)</f>
        <v>0</v>
      </c>
      <c r="DO31" s="211">
        <f ca="1">IF($D31&lt;&gt;"Serviço",0,IF(AND(AUTOEVENTO="Manual",$M31=1),0,IF(OFFSET(CRONOPLE!$F$14,$M31,DO$13)="",10^12,OFFSET(CRONOPLE!$F$14,$M31,DO$13))))</f>
        <v>1</v>
      </c>
      <c r="DP31" s="211">
        <f ca="1">IF($D31&lt;&gt;"Serviço",0,IF(AND(AUTOEVENTO="Manual",$M31=1),0,IF(OFFSET(CRONOPLE!$F$14,$M31,DP$13)="",10^12,OFFSET(CRONOPLE!$F$14,$M31,DP$13))))</f>
        <v>3</v>
      </c>
      <c r="DQ31" s="211">
        <f ca="1">IF($D31&lt;&gt;"Serviço",0,IF(AND(AUTOEVENTO="Manual",$M31=1),0,IF(OFFSET(CRONOPLE!$F$14,$M31,DQ$13)="",10^12,OFFSET(CRONOPLE!$F$14,$M31,DQ$13))))</f>
        <v>3</v>
      </c>
      <c r="DR31" s="211">
        <f ca="1">IF($D31&lt;&gt;"Serviço",0,IF(AND(AUTOEVENTO="Manual",$M31=1),0,IF(OFFSET(CRONOPLE!$F$14,$M31,DR$13)="",10^12,OFFSET(CRONOPLE!$F$14,$M31,DR$13))))</f>
        <v>1000000000000</v>
      </c>
      <c r="DS31" s="211">
        <f ca="1">IF($D31&lt;&gt;"Serviço",0,IF(AND(AUTOEVENTO="Manual",$M31=1),0,IF(OFFSET(CRONOPLE!$F$14,$M31,DS$13)="",10^12,OFFSET(CRONOPLE!$F$14,$M31,DS$13))))</f>
        <v>1000000000000</v>
      </c>
      <c r="DT31" s="211">
        <f ca="1">IF($D31&lt;&gt;"Serviço",0,IF(AND(AUTOEVENTO="Manual",$M31=1),0,IF(OFFSET(CRONOPLE!$F$14,$M31,DT$13)="",10^12,OFFSET(CRONOPLE!$F$14,$M31,DT$13))))</f>
        <v>1000000000000</v>
      </c>
      <c r="DU31" s="211">
        <f ca="1">IF($D31&lt;&gt;"Serviço",0,IF(AND(AUTOEVENTO="Manual",$M31=1),0,IF(OFFSET(CRONOPLE!$F$14,$M31,DU$13)="",10^12,OFFSET(CRONOPLE!$F$14,$M31,DU$13))))</f>
        <v>1000000000000</v>
      </c>
      <c r="DV31" s="211">
        <f ca="1">IF($D31&lt;&gt;"Serviço",0,IF(AND(AUTOEVENTO="Manual",$M31=1),0,IF(OFFSET(CRONOPLE!$F$14,$M31,DV$13)="",10^12,OFFSET(CRONOPLE!$F$14,$M31,DV$13))))</f>
        <v>1000000000000</v>
      </c>
      <c r="DW31" s="211">
        <f ca="1">IF($D31&lt;&gt;"Serviço",0,IF(AND(AUTOEVENTO="Manual",$M31=1),0,IF(OFFSET(CRONOPLE!$F$14,$M31,DW$13)="",10^12,OFFSET(CRONOPLE!$F$14,$M31,DW$13))))</f>
        <v>1000000000000</v>
      </c>
      <c r="DX31" s="211">
        <f ca="1">IF($D31&lt;&gt;"Serviço",0,IF(AND(AUTOEVENTO="Manual",$M31=1),0,IF(OFFSET(CRONOPLE!$F$14,$M31,DX$13)="",10^12,OFFSET(CRONOPLE!$F$14,$M31,DX$13))))</f>
        <v>1000000000000</v>
      </c>
      <c r="DY31" s="211">
        <f ca="1">IF($D31&lt;&gt;"Serviço",0,IF(AND(AUTOEVENTO="Manual",$M31=1),0,IF(OFFSET(CRONOPLE!$F$14,$M31,DY$13)="",10^12,OFFSET(CRONOPLE!$F$14,$M31,DY$13))))</f>
        <v>1000000000000</v>
      </c>
      <c r="DZ31" s="211">
        <f ca="1">IF($D31&lt;&gt;"Serviço",0,IF(AND(AUTOEVENTO="Manual",$M31=1),0,IF(OFFSET(CRONOPLE!$F$14,$M31,DZ$13)="",10^12,OFFSET(CRONOPLE!$F$14,$M31,DZ$13))))</f>
        <v>1000000000000</v>
      </c>
      <c r="EA31" s="211">
        <f ca="1">IF($D31&lt;&gt;"Serviço",0,IF(AND(AUTOEVENTO="Manual",$M31=1),0,IF(OFFSET(CRONOPLE!$F$14,$M31,EA$13)="",10^12,OFFSET(CRONOPLE!$F$14,$M31,EA$13))))</f>
        <v>1000000000000</v>
      </c>
      <c r="EB31" s="211">
        <f ca="1">IF($D31&lt;&gt;"Serviço",0,IF(AND(AUTOEVENTO="Manual",$M31=1),0,IF(OFFSET(CRONOPLE!$F$14,$M31,EB$13)="",10^12,OFFSET(CRONOPLE!$F$14,$M31,EB$13))))</f>
        <v>1000000000000</v>
      </c>
      <c r="EC31" s="211">
        <f ca="1">IF($D31&lt;&gt;"Serviço",0,IF(AND(AUTOEVENTO="Manual",$M31=1),0,IF(OFFSET(CRONOPLE!$F$14,$M31,EC$13)="",10^12,OFFSET(CRONOPLE!$F$14,$M31,EC$13))))</f>
        <v>1000000000000</v>
      </c>
      <c r="ED31" s="211">
        <f ca="1">IF($D31&lt;&gt;"Serviço",0,IF(AND(AUTOEVENTO="Manual",$M31=1),0,IF(OFFSET(CRONOPLE!$F$14,$M31,ED$13)="",10^12,OFFSET(CRONOPLE!$F$14,$M31,ED$13))))</f>
        <v>1000000000000</v>
      </c>
      <c r="EE31" s="211">
        <f ca="1">IF($D31&lt;&gt;"Serviço",0,IF(AND(AUTOEVENTO="Manual",$M31=1),0,IF(OFFSET(CRONOPLE!$F$14,$M31,EE$13)="",10^12,OFFSET(CRONOPLE!$F$14,$M31,EE$13))))</f>
        <v>1000000000000</v>
      </c>
      <c r="EF31" s="211">
        <f ca="1">IF($D31&lt;&gt;"Serviço",0,IF(AND(AUTOEVENTO="Manual",$M31=1),0,IF(OFFSET(CRONOPLE!$F$14,$M31,EF$13)="",10^12,OFFSET(CRONOPLE!$F$14,$M31,EF$13))))</f>
        <v>1000000000000</v>
      </c>
      <c r="EG31" s="211">
        <f ca="1">IF($D31&lt;&gt;"Serviço",0,IF(AND(AUTOEVENTO="Manual",$M31=1),0,IF(OFFSET(CRONOPLE!$F$14,$M31,EG$13)="",10^12,OFFSET(CRONOPLE!$F$14,$M31,EG$13))))</f>
        <v>1000000000000</v>
      </c>
      <c r="EH31" s="211">
        <f ca="1">IF($D31&lt;&gt;"Serviço",0,IF(AND(AUTOEVENTO="Manual",$M31=1),0,IF(OFFSET(CRONOPLE!$F$14,$M31,EH$13)="",10^12,OFFSET(CRONOPLE!$F$14,$M31,EH$13))))</f>
        <v>1000000000000</v>
      </c>
      <c r="EI31" s="211">
        <f ca="1">IF($D31&lt;&gt;"Serviço",0,IF(AND(AUTOEVENTO="Manual",$M31=1),0,IF(OFFSET(CRONOPLE!$F$14,$M31,EI$13)="",10^12,OFFSET(CRONOPLE!$F$14,$M31,EI$13))))</f>
        <v>1000000000000</v>
      </c>
      <c r="EJ31" s="211">
        <f ca="1">IF($D31&lt;&gt;"Serviço",0,IF(AND(AUTOEVENTO="Manual",$M31=1),0,IF(OFFSET(CRONOPLE!$F$14,$M31,EJ$13)="",10^12,OFFSET(CRONOPLE!$F$14,$M31,EJ$13))))</f>
        <v>1000000000000</v>
      </c>
      <c r="EK31" s="211">
        <f ca="1">IF($D31&lt;&gt;"Serviço",0,IF(AND(AUTOEVENTO="Manual",$M31=1),0,IF(OFFSET(CRONOPLE!$F$14,$M31,EK$13)="",10^12,OFFSET(CRONOPLE!$F$14,$M31,EK$13))))</f>
        <v>1000000000000</v>
      </c>
      <c r="EL31" s="211">
        <f ca="1">IF($D31&lt;&gt;"Serviço",0,IF(AND(AUTOEVENTO="Manual",$M31=1),0,IF(OFFSET(CRONOPLE!$F$14,$M31,EL$13)="",10^12,OFFSET(CRONOPLE!$F$14,$M31,EL$13))))</f>
        <v>1000000000000</v>
      </c>
      <c r="EM31" s="211">
        <f ca="1">IF($D31&lt;&gt;"Serviço",0,IF(AND(AUTOEVENTO="Manual",$M31=1),0,IF(OFFSET(CRONOPLE!$F$14,$M31,EM$13)="",10^12,OFFSET(CRONOPLE!$F$14,$M31,EM$13))))</f>
        <v>1000000000000</v>
      </c>
      <c r="EN31" s="211">
        <f ca="1">IF($D31&lt;&gt;"Serviço",0,IF(AND(AUTOEVENTO="Manual",$M31=1),0,IF(OFFSET(CRONOPLE!$F$14,$M31,EN$13)="",10^12,OFFSET(CRONOPLE!$F$14,$M31,EN$13))))</f>
        <v>1000000000000</v>
      </c>
      <c r="EO31" s="211">
        <f ca="1">IF($D31&lt;&gt;"Serviço",0,IF(AND(AUTOEVENTO="Manual",$M31=1),0,IF(OFFSET(CRONOPLE!$F$14,$M31,EO$13)="",10^12,OFFSET(CRONOPLE!$F$14,$M31,EO$13))))</f>
        <v>1000000000000</v>
      </c>
      <c r="EP31" s="211">
        <f ca="1">IF($D31&lt;&gt;"Serviço",0,IF(AND(AUTOEVENTO="Manual",$M31=1),0,IF(OFFSET(CRONOPLE!$F$14,$M31,EP$13)="",10^12,OFFSET(CRONOPLE!$F$14,$M31,EP$13))))</f>
        <v>1000000000000</v>
      </c>
      <c r="EQ31" s="211">
        <f ca="1">IF($D31&lt;&gt;"Serviço",0,IF(AND(AUTOEVENTO="Manual",$M31=1),0,IF(OFFSET(CRONOPLE!$F$14,$M31,EQ$13)="",10^12,OFFSET(CRONOPLE!$F$14,$M31,EQ$13))))</f>
        <v>1000000000000</v>
      </c>
      <c r="ER31" s="211">
        <f ca="1">IF($D31&lt;&gt;"Serviço",0,IF(AND(AUTOEVENTO="Manual",$M31=1),0,IF(OFFSET(CRONOPLE!$F$14,$M31,ER$13)="",10^12,OFFSET(CRONOPLE!$F$14,$M31,ER$13))))</f>
        <v>1000000000000</v>
      </c>
      <c r="ES31" s="211">
        <f ca="1">IF($D31&lt;&gt;"Serviço",0,IF(AND(AUTOEVENTO="Manual",$M31=1),0,IF(OFFSET(CRONOPLE!$F$14,$M31,ES$13)="",10^12,OFFSET(CRONOPLE!$F$14,$M31,ES$13))))</f>
        <v>1000000000000</v>
      </c>
      <c r="ET31" s="211">
        <f ca="1">IF($D31&lt;&gt;"Serviço",0,IF(AND(AUTOEVENTO="Manual",$M31=1),0,IF(OFFSET(CRONOPLE!$F$14,$M31,ET$13)="",10^12,OFFSET(CRONOPLE!$F$14,$M31,ET$13))))</f>
        <v>1000000000000</v>
      </c>
      <c r="EU31" s="211">
        <f ca="1">IF($D31&lt;&gt;"Serviço",0,IF(AND(AUTOEVENTO="Manual",$M31=1),0,IF(OFFSET(CRONOPLE!$F$14,$M31,EU$13)="",10^12,OFFSET(CRONOPLE!$F$14,$M31,EU$13))))</f>
        <v>1000000000000</v>
      </c>
      <c r="EV31" s="211">
        <f ca="1">IF($D31&lt;&gt;"Serviço",0,IF(AND(AUTOEVENTO="Manual",$M31=1),0,IF(OFFSET(CRONOPLE!$F$14,$M31,EV$13)="",10^12,OFFSET(CRONOPLE!$F$14,$M31,EV$13))))</f>
        <v>1000000000000</v>
      </c>
      <c r="EW31" s="211">
        <f ca="1">IF($D31&lt;&gt;"Serviço",0,IF(AND(AUTOEVENTO="Manual",$M31=1),0,IF(OFFSET(CRONOPLE!$F$14,$M31,EW$13)="",10^12,OFFSET(CRONOPLE!$F$14,$M31,EW$13))))</f>
        <v>1000000000000</v>
      </c>
      <c r="EX31" s="211">
        <f ca="1">IF($D31&lt;&gt;"Serviço",0,IF(AND(AUTOEVENTO="Manual",$M31=1),0,IF(OFFSET(CRONOPLE!$F$14,$M31,EX$13)="",10^12,OFFSET(CRONOPLE!$F$14,$M31,EX$13))))</f>
        <v>1000000000000</v>
      </c>
      <c r="EY31" s="211">
        <f ca="1">IF($D31&lt;&gt;"Serviço",0,IF(AND(AUTOEVENTO="Manual",$M31=1),0,IF(OFFSET(CRONOPLE!$F$14,$M31,EY$13)="",10^12,OFFSET(CRONOPLE!$F$14,$M31,EY$13))))</f>
        <v>1000000000000</v>
      </c>
      <c r="EZ31" s="211">
        <f ca="1">IF($D31&lt;&gt;"Serviço",0,IF(AND(AUTOEVENTO="Manual",$M31=1),0,IF(OFFSET(CRONOPLE!$F$14,$M31,EZ$13)="",10^12,OFFSET(CRONOPLE!$F$14,$M31,EZ$13))))</f>
        <v>1000000000000</v>
      </c>
      <c r="FA31" s="211">
        <f ca="1">IF($D31&lt;&gt;"Serviço",0,IF(AND(AUTOEVENTO="Manual",$M31=1),0,IF(OFFSET(CRONOPLE!$F$14,$M31,FA$13)="",10^12,OFFSET(CRONOPLE!$F$14,$M31,FA$13))))</f>
        <v>1000000000000</v>
      </c>
      <c r="FB31" s="211">
        <f ca="1">IF($D31&lt;&gt;"Serviço",0,IF(AND(AUTOEVENTO="Manual",$M31=1),0,IF(OFFSET(CRONOPLE!$F$14,$M31,FB$13)="",10^12,OFFSET(CRONOPLE!$F$14,$M31,FB$13))))</f>
        <v>1000000000000</v>
      </c>
      <c r="FC31" s="211">
        <f ca="1">IF($D31&lt;&gt;"Serviço",0,IF(AND(AUTOEVENTO="Manual",$M31=1),0,IF(OFFSET(CRONOPLE!$F$14,$M31,FC$13)="",10^12,OFFSET(CRONOPLE!$F$14,$M31,FC$13))))</f>
        <v>1000000000000</v>
      </c>
      <c r="FD31" s="211">
        <f ca="1">IF($D31&lt;&gt;"Serviço",0,IF(AND(AUTOEVENTO="Manual",$M31=1),0,IF(OFFSET(CRONOPLE!$F$14,$M31,FD$13)="",10^12,OFFSET(CRONOPLE!$F$14,$M31,FD$13))))</f>
        <v>1000000000000</v>
      </c>
      <c r="FE31" s="211">
        <f ca="1">IF($D31&lt;&gt;"Serviço",0,IF(AND(AUTOEVENTO="Manual",$M31=1),0,IF(OFFSET(CRONOPLE!$F$14,$M31,FE$13)="",10^12,OFFSET(CRONOPLE!$F$14,$M31,FE$13))))</f>
        <v>1000000000000</v>
      </c>
      <c r="FF31" s="211">
        <f ca="1">IF($D31&lt;&gt;"Serviço",0,IF(AND(AUTOEVENTO="Manual",$M31=1),0,IF(OFFSET(CRONOPLE!$F$14,$M31,FF$13)="",10^12,OFFSET(CRONOPLE!$F$14,$M31,FF$13))))</f>
        <v>1000000000000</v>
      </c>
      <c r="FG31" s="211">
        <f ca="1">IF($D31&lt;&gt;"Serviço",0,IF(AND(AUTOEVENTO="Manual",$M31=1),0,IF(OFFSET(CRONOPLE!$F$14,$M31,FG$13)="",10^12,OFFSET(CRONOPLE!$F$14,$M31,FG$13))))</f>
        <v>1000000000000</v>
      </c>
      <c r="FH31" s="211">
        <f ca="1">IF($D31&lt;&gt;"Serviço",0,IF(AND(AUTOEVENTO="Manual",$M31=1),0,IF(OFFSET(CRONOPLE!$F$14,$M31,FH$13)="",10^12,OFFSET(CRONOPLE!$F$14,$M31,FH$13))))</f>
        <v>1000000000000</v>
      </c>
      <c r="FI31" s="211">
        <f ca="1">IF($D31&lt;&gt;"Serviço",0,IF(AND(AUTOEVENTO="Manual",$M31=1),0,IF(OFFSET(CRONOPLE!$F$14,$M31,FI$13)="",10^12,OFFSET(CRONOPLE!$F$14,$M31,FI$13))))</f>
        <v>1000000000000</v>
      </c>
      <c r="FJ31" s="211">
        <f ca="1">IF($D31&lt;&gt;"Serviço",0,IF(AND(AUTOEVENTO="Manual",$M31=1),0,IF(OFFSET(CRONOPLE!$F$14,$M31,FJ$13)="",10^12,OFFSET(CRONOPLE!$F$14,$M31,FJ$13))))</f>
        <v>1000000000000</v>
      </c>
      <c r="FK31" s="211">
        <f ca="1">IF($D31&lt;&gt;"Serviço",0,IF(AND(AUTOEVENTO="Manual",$M31=1),0,IF(OFFSET(CRONOPLE!$F$14,$M31,FK$13)="",10^12,OFFSET(CRONOPLE!$F$14,$M31,FK$13))))</f>
        <v>1000000000000</v>
      </c>
      <c r="FL31" s="211">
        <f ca="1">IF($D31&lt;&gt;"Serviço",0,IF(AND(AUTOEVENTO="Manual",$M31=1),0,IF(OFFSET(CRONOPLE!$F$14,$M31,FL$13)="",10^12,OFFSET(CRONOPLE!$F$14,$M31,FL$13))))</f>
        <v>1000000000000</v>
      </c>
      <c r="FN31" s="212">
        <f ca="1">IF($D31&lt;&gt;"Serviço",0,IF(OR(AND(AUTOEVENTO="Manual",$M31=1),$M31&gt;(ROW(PLE.lastrow)-ROW(PLE.firstrow))),0,IF(OFFSET(PLE!$G$14,$M31,FN$13)="",10^12,OFFSET(PLE!$G$14,$M31,FN$13))))</f>
        <v>1000000000000</v>
      </c>
      <c r="FO31" s="212">
        <f ca="1">IF($D31&lt;&gt;"Serviço",0,IF(OR(AND(AUTOEVENTO="Manual",$M31=1),$M31&gt;(ROW(PLE.lastrow)-ROW(PLE.firstrow))),0,IF(OFFSET(PLE!$G$14,$M31,FO$13)="",10^12,OFFSET(PLE!$G$14,$M31,FO$13))))</f>
        <v>1000000000000</v>
      </c>
      <c r="FP31" s="212">
        <f ca="1">IF($D31&lt;&gt;"Serviço",0,IF(OR(AND(AUTOEVENTO="Manual",$M31=1),$M31&gt;(ROW(PLE.lastrow)-ROW(PLE.firstrow))),0,IF(OFFSET(PLE!$G$14,$M31,FP$13)="",10^12,OFFSET(PLE!$G$14,$M31,FP$13))))</f>
        <v>1000000000000</v>
      </c>
      <c r="FQ31" s="212">
        <f ca="1">IF($D31&lt;&gt;"Serviço",0,IF(OR(AND(AUTOEVENTO="Manual",$M31=1),$M31&gt;(ROW(PLE.lastrow)-ROW(PLE.firstrow))),0,IF(OFFSET(PLE!$G$14,$M31,FQ$13)="",10^12,OFFSET(PLE!$G$14,$M31,FQ$13))))</f>
        <v>1000000000000</v>
      </c>
      <c r="FR31" s="212">
        <f ca="1">IF($D31&lt;&gt;"Serviço",0,IF(OR(AND(AUTOEVENTO="Manual",$M31=1),$M31&gt;(ROW(PLE.lastrow)-ROW(PLE.firstrow))),0,IF(OFFSET(PLE!$G$14,$M31,FR$13)="",10^12,OFFSET(PLE!$G$14,$M31,FR$13))))</f>
        <v>1000000000000</v>
      </c>
      <c r="FS31" s="212">
        <f ca="1">IF($D31&lt;&gt;"Serviço",0,IF(OR(AND(AUTOEVENTO="Manual",$M31=1),$M31&gt;(ROW(PLE.lastrow)-ROW(PLE.firstrow))),0,IF(OFFSET(PLE!$G$14,$M31,FS$13)="",10^12,OFFSET(PLE!$G$14,$M31,FS$13))))</f>
        <v>1000000000000</v>
      </c>
      <c r="FT31" s="212">
        <f ca="1">IF($D31&lt;&gt;"Serviço",0,IF(OR(AND(AUTOEVENTO="Manual",$M31=1),$M31&gt;(ROW(PLE.lastrow)-ROW(PLE.firstrow))),0,IF(OFFSET(PLE!$G$14,$M31,FT$13)="",10^12,OFFSET(PLE!$G$14,$M31,FT$13))))</f>
        <v>1000000000000</v>
      </c>
      <c r="FU31" s="212">
        <f ca="1">IF($D31&lt;&gt;"Serviço",0,IF(OR(AND(AUTOEVENTO="Manual",$M31=1),$M31&gt;(ROW(PLE.lastrow)-ROW(PLE.firstrow))),0,IF(OFFSET(PLE!$G$14,$M31,FU$13)="",10^12,OFFSET(PLE!$G$14,$M31,FU$13))))</f>
        <v>1000000000000</v>
      </c>
      <c r="FV31" s="212">
        <f ca="1">IF($D31&lt;&gt;"Serviço",0,IF(OR(AND(AUTOEVENTO="Manual",$M31=1),$M31&gt;(ROW(PLE.lastrow)-ROW(PLE.firstrow))),0,IF(OFFSET(PLE!$G$14,$M31,FV$13)="",10^12,OFFSET(PLE!$G$14,$M31,FV$13))))</f>
        <v>1000000000000</v>
      </c>
      <c r="FW31" s="212">
        <f ca="1">IF($D31&lt;&gt;"Serviço",0,IF(OR(AND(AUTOEVENTO="Manual",$M31=1),$M31&gt;(ROW(PLE.lastrow)-ROW(PLE.firstrow))),0,IF(OFFSET(PLE!$G$14,$M31,FW$13)="",10^12,OFFSET(PLE!$G$14,$M31,FW$13))))</f>
        <v>1000000000000</v>
      </c>
      <c r="FX31" s="212">
        <f ca="1">IF($D31&lt;&gt;"Serviço",0,IF(OR(AND(AUTOEVENTO="Manual",$M31=1),$M31&gt;(ROW(PLE.lastrow)-ROW(PLE.firstrow))),0,IF(OFFSET(PLE!$G$14,$M31,FX$13)="",10^12,OFFSET(PLE!$G$14,$M31,FX$13))))</f>
        <v>1000000000000</v>
      </c>
      <c r="FY31" s="212">
        <f ca="1">IF($D31&lt;&gt;"Serviço",0,IF(OR(AND(AUTOEVENTO="Manual",$M31=1),$M31&gt;(ROW(PLE.lastrow)-ROW(PLE.firstrow))),0,IF(OFFSET(PLE!$G$14,$M31,FY$13)="",10^12,OFFSET(PLE!$G$14,$M31,FY$13))))</f>
        <v>1000000000000</v>
      </c>
      <c r="FZ31" s="212">
        <f ca="1">IF($D31&lt;&gt;"Serviço",0,IF(OR(AND(AUTOEVENTO="Manual",$M31=1),$M31&gt;(ROW(PLE.lastrow)-ROW(PLE.firstrow))),0,IF(OFFSET(PLE!$G$14,$M31,FZ$13)="",10^12,OFFSET(PLE!$G$14,$M31,FZ$13))))</f>
        <v>1000000000000</v>
      </c>
      <c r="GA31" s="212">
        <f ca="1">IF($D31&lt;&gt;"Serviço",0,IF(OR(AND(AUTOEVENTO="Manual",$M31=1),$M31&gt;(ROW(PLE.lastrow)-ROW(PLE.firstrow))),0,IF(OFFSET(PLE!$G$14,$M31,GA$13)="",10^12,OFFSET(PLE!$G$14,$M31,GA$13))))</f>
        <v>1000000000000</v>
      </c>
      <c r="GB31" s="212">
        <f ca="1">IF($D31&lt;&gt;"Serviço",0,IF(OR(AND(AUTOEVENTO="Manual",$M31=1),$M31&gt;(ROW(PLE.lastrow)-ROW(PLE.firstrow))),0,IF(OFFSET(PLE!$G$14,$M31,GB$13)="",10^12,OFFSET(PLE!$G$14,$M31,GB$13))))</f>
        <v>1000000000000</v>
      </c>
      <c r="GC31" s="212">
        <f ca="1">IF($D31&lt;&gt;"Serviço",0,IF(OR(AND(AUTOEVENTO="Manual",$M31=1),$M31&gt;(ROW(PLE.lastrow)-ROW(PLE.firstrow))),0,IF(OFFSET(PLE!$G$14,$M31,GC$13)="",10^12,OFFSET(PLE!$G$14,$M31,GC$13))))</f>
        <v>1000000000000</v>
      </c>
      <c r="GD31" s="212">
        <f ca="1">IF($D31&lt;&gt;"Serviço",0,IF(OR(AND(AUTOEVENTO="Manual",$M31=1),$M31&gt;(ROW(PLE.lastrow)-ROW(PLE.firstrow))),0,IF(OFFSET(PLE!$G$14,$M31,GD$13)="",10^12,OFFSET(PLE!$G$14,$M31,GD$13))))</f>
        <v>1000000000000</v>
      </c>
      <c r="GE31" s="212">
        <f ca="1">IF($D31&lt;&gt;"Serviço",0,IF(OR(AND(AUTOEVENTO="Manual",$M31=1),$M31&gt;(ROW(PLE.lastrow)-ROW(PLE.firstrow))),0,IF(OFFSET(PLE!$G$14,$M31,GE$13)="",10^12,OFFSET(PLE!$G$14,$M31,GE$13))))</f>
        <v>1000000000000</v>
      </c>
      <c r="GF31" s="212">
        <f ca="1">IF($D31&lt;&gt;"Serviço",0,IF(OR(AND(AUTOEVENTO="Manual",$M31=1),$M31&gt;(ROW(PLE.lastrow)-ROW(PLE.firstrow))),0,IF(OFFSET(PLE!$G$14,$M31,GF$13)="",10^12,OFFSET(PLE!$G$14,$M31,GF$13))))</f>
        <v>1000000000000</v>
      </c>
      <c r="GG31" s="212">
        <f ca="1">IF($D31&lt;&gt;"Serviço",0,IF(OR(AND(AUTOEVENTO="Manual",$M31=1),$M31&gt;(ROW(PLE.lastrow)-ROW(PLE.firstrow))),0,IF(OFFSET(PLE!$G$14,$M31,GG$13)="",10^12,OFFSET(PLE!$G$14,$M31,GG$13))))</f>
        <v>1000000000000</v>
      </c>
      <c r="GH31" s="212">
        <f ca="1">IF($D31&lt;&gt;"Serviço",0,IF(OR(AND(AUTOEVENTO="Manual",$M31=1),$M31&gt;(ROW(PLE.lastrow)-ROW(PLE.firstrow))),0,IF(OFFSET(PLE!$G$14,$M31,GH$13)="",10^12,OFFSET(PLE!$G$14,$M31,GH$13))))</f>
        <v>1000000000000</v>
      </c>
      <c r="GI31" s="212">
        <f ca="1">IF($D31&lt;&gt;"Serviço",0,IF(OR(AND(AUTOEVENTO="Manual",$M31=1),$M31&gt;(ROW(PLE.lastrow)-ROW(PLE.firstrow))),0,IF(OFFSET(PLE!$G$14,$M31,GI$13)="",10^12,OFFSET(PLE!$G$14,$M31,GI$13))))</f>
        <v>1000000000000</v>
      </c>
      <c r="GJ31" s="212">
        <f ca="1">IF($D31&lt;&gt;"Serviço",0,IF(OR(AND(AUTOEVENTO="Manual",$M31=1),$M31&gt;(ROW(PLE.lastrow)-ROW(PLE.firstrow))),0,IF(OFFSET(PLE!$G$14,$M31,GJ$13)="",10^12,OFFSET(PLE!$G$14,$M31,GJ$13))))</f>
        <v>1000000000000</v>
      </c>
      <c r="GK31" s="212">
        <f ca="1">IF($D31&lt;&gt;"Serviço",0,IF(OR(AND(AUTOEVENTO="Manual",$M31=1),$M31&gt;(ROW(PLE.lastrow)-ROW(PLE.firstrow))),0,IF(OFFSET(PLE!$G$14,$M31,GK$13)="",10^12,OFFSET(PLE!$G$14,$M31,GK$13))))</f>
        <v>1000000000000</v>
      </c>
      <c r="GL31" s="212">
        <f ca="1">IF($D31&lt;&gt;"Serviço",0,IF(OR(AND(AUTOEVENTO="Manual",$M31=1),$M31&gt;(ROW(PLE.lastrow)-ROW(PLE.firstrow))),0,IF(OFFSET(PLE!$G$14,$M31,GL$13)="",10^12,OFFSET(PLE!$G$14,$M31,GL$13))))</f>
        <v>1000000000000</v>
      </c>
      <c r="GM31" s="212">
        <f ca="1">IF($D31&lt;&gt;"Serviço",0,IF(OR(AND(AUTOEVENTO="Manual",$M31=1),$M31&gt;(ROW(PLE.lastrow)-ROW(PLE.firstrow))),0,IF(OFFSET(PLE!$G$14,$M31,GM$13)="",10^12,OFFSET(PLE!$G$14,$M31,GM$13))))</f>
        <v>1000000000000</v>
      </c>
      <c r="GN31" s="212">
        <f ca="1">IF($D31&lt;&gt;"Serviço",0,IF(OR(AND(AUTOEVENTO="Manual",$M31=1),$M31&gt;(ROW(PLE.lastrow)-ROW(PLE.firstrow))),0,IF(OFFSET(PLE!$G$14,$M31,GN$13)="",10^12,OFFSET(PLE!$G$14,$M31,GN$13))))</f>
        <v>1000000000000</v>
      </c>
      <c r="GO31" s="212">
        <f ca="1">IF($D31&lt;&gt;"Serviço",0,IF(OR(AND(AUTOEVENTO="Manual",$M31=1),$M31&gt;(ROW(PLE.lastrow)-ROW(PLE.firstrow))),0,IF(OFFSET(PLE!$G$14,$M31,GO$13)="",10^12,OFFSET(PLE!$G$14,$M31,GO$13))))</f>
        <v>1000000000000</v>
      </c>
      <c r="GP31" s="212">
        <f ca="1">IF($D31&lt;&gt;"Serviço",0,IF(OR(AND(AUTOEVENTO="Manual",$M31=1),$M31&gt;(ROW(PLE.lastrow)-ROW(PLE.firstrow))),0,IF(OFFSET(PLE!$G$14,$M31,GP$13)="",10^12,OFFSET(PLE!$G$14,$M31,GP$13))))</f>
        <v>1000000000000</v>
      </c>
      <c r="GQ31" s="212">
        <f ca="1">IF($D31&lt;&gt;"Serviço",0,IF(OR(AND(AUTOEVENTO="Manual",$M31=1),$M31&gt;(ROW(PLE.lastrow)-ROW(PLE.firstrow))),0,IF(OFFSET(PLE!$G$14,$M31,GQ$13)="",10^12,OFFSET(PLE!$G$14,$M31,GQ$13))))</f>
        <v>1000000000000</v>
      </c>
      <c r="GR31" s="212">
        <f ca="1">IF($D31&lt;&gt;"Serviço",0,IF(OR(AND(AUTOEVENTO="Manual",$M31=1),$M31&gt;(ROW(PLE.lastrow)-ROW(PLE.firstrow))),0,IF(OFFSET(PLE!$G$14,$M31,GR$13)="",10^12,OFFSET(PLE!$G$14,$M31,GR$13))))</f>
        <v>1000000000000</v>
      </c>
      <c r="GS31" s="212">
        <f ca="1">IF($D31&lt;&gt;"Serviço",0,IF(OR(AND(AUTOEVENTO="Manual",$M31=1),$M31&gt;(ROW(PLE.lastrow)-ROW(PLE.firstrow))),0,IF(OFFSET(PLE!$G$14,$M31,GS$13)="",10^12,OFFSET(PLE!$G$14,$M31,GS$13))))</f>
        <v>1000000000000</v>
      </c>
      <c r="GT31" s="212">
        <f ca="1">IF($D31&lt;&gt;"Serviço",0,IF(OR(AND(AUTOEVENTO="Manual",$M31=1),$M31&gt;(ROW(PLE.lastrow)-ROW(PLE.firstrow))),0,IF(OFFSET(PLE!$G$14,$M31,GT$13)="",10^12,OFFSET(PLE!$G$14,$M31,GT$13))))</f>
        <v>1000000000000</v>
      </c>
      <c r="GU31" s="212">
        <f ca="1">IF($D31&lt;&gt;"Serviço",0,IF(OR(AND(AUTOEVENTO="Manual",$M31=1),$M31&gt;(ROW(PLE.lastrow)-ROW(PLE.firstrow))),0,IF(OFFSET(PLE!$G$14,$M31,GU$13)="",10^12,OFFSET(PLE!$G$14,$M31,GU$13))))</f>
        <v>1000000000000</v>
      </c>
      <c r="GV31" s="212">
        <f ca="1">IF($D31&lt;&gt;"Serviço",0,IF(OR(AND(AUTOEVENTO="Manual",$M31=1),$M31&gt;(ROW(PLE.lastrow)-ROW(PLE.firstrow))),0,IF(OFFSET(PLE!$G$14,$M31,GV$13)="",10^12,OFFSET(PLE!$G$14,$M31,GV$13))))</f>
        <v>1000000000000</v>
      </c>
      <c r="GW31" s="212">
        <f ca="1">IF($D31&lt;&gt;"Serviço",0,IF(OR(AND(AUTOEVENTO="Manual",$M31=1),$M31&gt;(ROW(PLE.lastrow)-ROW(PLE.firstrow))),0,IF(OFFSET(PLE!$G$14,$M31,GW$13)="",10^12,OFFSET(PLE!$G$14,$M31,GW$13))))</f>
        <v>1000000000000</v>
      </c>
      <c r="GX31" s="212">
        <f ca="1">IF($D31&lt;&gt;"Serviço",0,IF(OR(AND(AUTOEVENTO="Manual",$M31=1),$M31&gt;(ROW(PLE.lastrow)-ROW(PLE.firstrow))),0,IF(OFFSET(PLE!$G$14,$M31,GX$13)="",10^12,OFFSET(PLE!$G$14,$M31,GX$13))))</f>
        <v>1000000000000</v>
      </c>
      <c r="GY31" s="212">
        <f ca="1">IF($D31&lt;&gt;"Serviço",0,IF(OR(AND(AUTOEVENTO="Manual",$M31=1),$M31&gt;(ROW(PLE.lastrow)-ROW(PLE.firstrow))),0,IF(OFFSET(PLE!$G$14,$M31,GY$13)="",10^12,OFFSET(PLE!$G$14,$M31,GY$13))))</f>
        <v>1000000000000</v>
      </c>
      <c r="GZ31" s="212">
        <f ca="1">IF($D31&lt;&gt;"Serviço",0,IF(OR(AND(AUTOEVENTO="Manual",$M31=1),$M31&gt;(ROW(PLE.lastrow)-ROW(PLE.firstrow))),0,IF(OFFSET(PLE!$G$14,$M31,GZ$13)="",10^12,OFFSET(PLE!$G$14,$M31,GZ$13))))</f>
        <v>1000000000000</v>
      </c>
      <c r="HA31" s="212">
        <f ca="1">IF($D31&lt;&gt;"Serviço",0,IF(OR(AND(AUTOEVENTO="Manual",$M31=1),$M31&gt;(ROW(PLE.lastrow)-ROW(PLE.firstrow))),0,IF(OFFSET(PLE!$G$14,$M31,HA$13)="",10^12,OFFSET(PLE!$G$14,$M31,HA$13))))</f>
        <v>1000000000000</v>
      </c>
      <c r="HB31" s="212">
        <f ca="1">IF($D31&lt;&gt;"Serviço",0,IF(OR(AND(AUTOEVENTO="Manual",$M31=1),$M31&gt;(ROW(PLE.lastrow)-ROW(PLE.firstrow))),0,IF(OFFSET(PLE!$G$14,$M31,HB$13)="",10^12,OFFSET(PLE!$G$14,$M31,HB$13))))</f>
        <v>1000000000000</v>
      </c>
      <c r="HC31" s="212">
        <f ca="1">IF($D31&lt;&gt;"Serviço",0,IF(OR(AND(AUTOEVENTO="Manual",$M31=1),$M31&gt;(ROW(PLE.lastrow)-ROW(PLE.firstrow))),0,IF(OFFSET(PLE!$G$14,$M31,HC$13)="",10^12,OFFSET(PLE!$G$14,$M31,HC$13))))</f>
        <v>1000000000000</v>
      </c>
      <c r="HD31" s="212">
        <f ca="1">IF($D31&lt;&gt;"Serviço",0,IF(OR(AND(AUTOEVENTO="Manual",$M31=1),$M31&gt;(ROW(PLE.lastrow)-ROW(PLE.firstrow))),0,IF(OFFSET(PLE!$G$14,$M31,HD$13)="",10^12,OFFSET(PLE!$G$14,$M31,HD$13))))</f>
        <v>1000000000000</v>
      </c>
      <c r="HE31" s="212">
        <f ca="1">IF($D31&lt;&gt;"Serviço",0,IF(OR(AND(AUTOEVENTO="Manual",$M31=1),$M31&gt;(ROW(PLE.lastrow)-ROW(PLE.firstrow))),0,IF(OFFSET(PLE!$G$14,$M31,HE$13)="",10^12,OFFSET(PLE!$G$14,$M31,HE$13))))</f>
        <v>1000000000000</v>
      </c>
      <c r="HF31" s="212">
        <f ca="1">IF($D31&lt;&gt;"Serviço",0,IF(OR(AND(AUTOEVENTO="Manual",$M31=1),$M31&gt;(ROW(PLE.lastrow)-ROW(PLE.firstrow))),0,IF(OFFSET(PLE!$G$14,$M31,HF$13)="",10^12,OFFSET(PLE!$G$14,$M31,HF$13))))</f>
        <v>1000000000000</v>
      </c>
      <c r="HG31" s="212">
        <f ca="1">IF($D31&lt;&gt;"Serviço",0,IF(OR(AND(AUTOEVENTO="Manual",$M31=1),$M31&gt;(ROW(PLE.lastrow)-ROW(PLE.firstrow))),0,IF(OFFSET(PLE!$G$14,$M31,HG$13)="",10^12,OFFSET(PLE!$G$14,$M31,HG$13))))</f>
        <v>1000000000000</v>
      </c>
      <c r="HH31" s="212">
        <f ca="1">IF($D31&lt;&gt;"Serviço",0,IF(OR(AND(AUTOEVENTO="Manual",$M31=1),$M31&gt;(ROW(PLE.lastrow)-ROW(PLE.firstrow))),0,IF(OFFSET(PLE!$G$14,$M31,HH$13)="",10^12,OFFSET(PLE!$G$14,$M31,HH$13))))</f>
        <v>1000000000000</v>
      </c>
      <c r="HI31" s="212">
        <f ca="1">IF($D31&lt;&gt;"Serviço",0,IF(OR(AND(AUTOEVENTO="Manual",$M31=1),$M31&gt;(ROW(PLE.lastrow)-ROW(PLE.firstrow))),0,IF(OFFSET(PLE!$G$14,$M31,HI$13)="",10^12,OFFSET(PLE!$G$14,$M31,HI$13))))</f>
        <v>1000000000000</v>
      </c>
      <c r="HJ31" s="212">
        <f ca="1">IF($D31&lt;&gt;"Serviço",0,IF(OR(AND(AUTOEVENTO="Manual",$M31=1),$M31&gt;(ROW(PLE.lastrow)-ROW(PLE.firstrow))),0,IF(OFFSET(PLE!$G$14,$M31,HJ$13)="",10^12,OFFSET(PLE!$G$14,$M31,HJ$13))))</f>
        <v>1000000000000</v>
      </c>
      <c r="HK31" s="212">
        <f ca="1">IF($D31&lt;&gt;"Serviço",0,IF(OR(AND(AUTOEVENTO="Manual",$M31=1),$M31&gt;(ROW(PLE.lastrow)-ROW(PLE.firstrow))),0,IF(OFFSET(PLE!$G$14,$M31,HK$13)="",10^12,OFFSET(PLE!$G$14,$M31,HK$13))))</f>
        <v>1000000000000</v>
      </c>
    </row>
    <row r="32" spans="1:219" ht="51" x14ac:dyDescent="0.2">
      <c r="A32" s="9" t="str">
        <f t="shared" ca="1" si="10"/>
        <v>13</v>
      </c>
      <c r="B32" s="9" t="str">
        <f ca="1">OFFSET(ORÇAMENTO!C$15,ROW(B32)-ROW(B$15),0)</f>
        <v>S</v>
      </c>
      <c r="C32" s="9" t="str">
        <f ca="1">OFFSET(ORÇAMENTO!L$15,ROW(C32)-ROW(C$15),0)</f>
        <v>F</v>
      </c>
      <c r="D32" s="141" t="str">
        <f ca="1">OFFSET(ORÇAMENTO!N$15,ROW(D32)-ROW(D$15),0)</f>
        <v>Serviço</v>
      </c>
      <c r="E32" s="201" t="str">
        <f ca="1">OFFSET(ORÇAMENTO!O$15,ROW(E32)-ROW(E$15),0)</f>
        <v>1.5.4.</v>
      </c>
      <c r="F32" s="202" t="str">
        <f ca="1">OFFSET(ORÇAMENTO!R$15,ROW(F32)-ROW(F$15),0)</f>
        <v>Suporte metálico galvanizado para placa de advertência ou regulamentação - lado ou diâmetro de 0,60 m - fornecimento e implantação</v>
      </c>
      <c r="G32" s="203" t="str">
        <f ca="1">IF($D32&lt;&gt;"Serviço","",OFFSET(ORÇAMENTO!S$15,ROW(G32)-ROW(G$15),0))</f>
        <v>Unidade</v>
      </c>
      <c r="H32" s="147">
        <f ca="1">IF($D32&lt;&gt;"Serviço",0,IF(ACOMPANHAMENTO="BM",ROUND(OFFSET(ORÇAMENTO!AJ$15,ROW(H32)-ROW(H$15),0),15-13*ORÇAMENTO!$AF$7),SUMPRODUCT(($Q$12:$BO$12&lt;&gt;"")*ROUND($Q32:$BO32,15-13*ORÇAMENTO!$AF$7))))</f>
        <v>2</v>
      </c>
      <c r="I32" s="646" t="s">
        <v>496</v>
      </c>
      <c r="K32" s="204"/>
      <c r="L32" s="205" t="s">
        <v>257</v>
      </c>
      <c r="M32" s="206">
        <f ca="1">IF($D32&lt;&gt;"Serviço","",IF(AUTOEVENTO="manual",$A32,IF(ISERROR(MATCH($A32,$A$15:OFFSET($A32,-1,0),0)),MAX($M$15:OFFSET(M32,-1,0))+1,INDEX($M$15:OFFSET(M32,-1,0),MATCH($A32,$A$15:OFFSET($A32,-1,0),0)))))</f>
        <v>6</v>
      </c>
      <c r="N32" s="207" t="str">
        <f ca="1">IF($D32&lt;&gt;"Serviço","",IF(AUTOEVENTO="Manual",IF($A32=0,"&lt;-- defina o número do agrupador",OFFSET(EVENTOS!$D$14,$A32,0)),OFFSET($F$15,$A32,0)))</f>
        <v>SINALIZAÇÃO VIÁRIA</v>
      </c>
      <c r="O32" s="208"/>
      <c r="Q32" s="208"/>
      <c r="R32" s="209">
        <v>2</v>
      </c>
      <c r="S32" s="209"/>
      <c r="T32" s="209"/>
      <c r="U32" s="209"/>
      <c r="V32" s="209"/>
      <c r="W32" s="209"/>
      <c r="X32" s="209"/>
      <c r="Y32" s="209"/>
      <c r="Z32" s="210"/>
      <c r="AA32" s="209"/>
      <c r="AB32" s="209"/>
      <c r="AC32" s="209"/>
      <c r="AD32" s="209"/>
      <c r="AE32" s="209"/>
      <c r="AF32" s="209"/>
      <c r="AG32" s="209"/>
      <c r="AH32" s="210"/>
      <c r="AI32" s="209"/>
      <c r="AJ32" s="209"/>
      <c r="AK32" s="209"/>
      <c r="AL32" s="209"/>
      <c r="AM32" s="209"/>
      <c r="AN32" s="209"/>
      <c r="AO32" s="209"/>
      <c r="AP32" s="210"/>
      <c r="AQ32" s="209"/>
      <c r="AR32" s="209"/>
      <c r="AS32" s="209"/>
      <c r="AT32" s="209"/>
      <c r="AU32" s="209"/>
      <c r="AV32" s="209"/>
      <c r="AW32" s="209"/>
      <c r="AX32" s="210"/>
      <c r="AY32" s="209"/>
      <c r="AZ32" s="209"/>
      <c r="BA32" s="209"/>
      <c r="BB32" s="209"/>
      <c r="BC32" s="209"/>
      <c r="BD32" s="209"/>
      <c r="BE32" s="209"/>
      <c r="BF32" s="210"/>
      <c r="BG32" s="209"/>
      <c r="BH32" s="209"/>
      <c r="BI32" s="209"/>
      <c r="BJ32" s="209"/>
      <c r="BK32" s="209"/>
      <c r="BL32" s="209"/>
      <c r="BM32" s="209"/>
      <c r="BN32" s="210"/>
      <c r="BP32" s="627">
        <f ca="1">IF(AND($D32="Serviço",BP$12&lt;&gt;0,$H32&gt;0,OR(AUTOEVENTO&lt;&gt;"manual",$M32&lt;&gt;1)),ROUND(OFFSET($P32,0,BP$13),15-13*ORÇAMENTO!$AF$7)/$H32*OFFSET(ORÇAMENTO!$X$15,ROW(BP32)-ROW(BP$15),0),0)</f>
        <v>0</v>
      </c>
      <c r="BQ32" s="628">
        <f ca="1">IF(AND($D32="Serviço",BQ$12&lt;&gt;0,$H32&gt;0,OR(AUTOEVENTO&lt;&gt;"manual",$M32&lt;&gt;1)),ROUND(OFFSET($P32,0,BQ$13),15-13*ORÇAMENTO!$AF$7)/$H32*OFFSET(ORÇAMENTO!$X$15,ROW(BQ32)-ROW(BQ$15),0),0)</f>
        <v>1114.8599999999999</v>
      </c>
      <c r="BR32" s="628">
        <f ca="1">IF(AND($D32="Serviço",BR$12&lt;&gt;0,$H32&gt;0,OR(AUTOEVENTO&lt;&gt;"manual",$M32&lt;&gt;1)),ROUND(OFFSET($P32,0,BR$13),15-13*ORÇAMENTO!$AF$7)/$H32*OFFSET(ORÇAMENTO!$X$15,ROW(BR32)-ROW(BR$15),0),0)</f>
        <v>0</v>
      </c>
      <c r="BS32" s="628">
        <f ca="1">IF(AND($D32="Serviço",BS$12&lt;&gt;0,$H32&gt;0,OR(AUTOEVENTO&lt;&gt;"manual",$M32&lt;&gt;1)),ROUND(OFFSET($P32,0,BS$13),15-13*ORÇAMENTO!$AF$7)/$H32*OFFSET(ORÇAMENTO!$X$15,ROW(BS32)-ROW(BS$15),0),0)</f>
        <v>0</v>
      </c>
      <c r="BT32" s="628">
        <f ca="1">IF(AND($D32="Serviço",BT$12&lt;&gt;0,$H32&gt;0,OR(AUTOEVENTO&lt;&gt;"manual",$M32&lt;&gt;1)),ROUND(OFFSET($P32,0,BT$13),15-13*ORÇAMENTO!$AF$7)/$H32*OFFSET(ORÇAMENTO!$X$15,ROW(BT32)-ROW(BT$15),0),0)</f>
        <v>0</v>
      </c>
      <c r="BU32" s="628">
        <f ca="1">IF(AND($D32="Serviço",BU$12&lt;&gt;0,$H32&gt;0,OR(AUTOEVENTO&lt;&gt;"manual",$M32&lt;&gt;1)),ROUND(OFFSET($P32,0,BU$13),15-13*ORÇAMENTO!$AF$7)/$H32*OFFSET(ORÇAMENTO!$X$15,ROW(BU32)-ROW(BU$15),0),0)</f>
        <v>0</v>
      </c>
      <c r="BV32" s="628">
        <f ca="1">IF(AND($D32="Serviço",BV$12&lt;&gt;0,$H32&gt;0,OR(AUTOEVENTO&lt;&gt;"manual",$M32&lt;&gt;1)),ROUND(OFFSET($P32,0,BV$13),15-13*ORÇAMENTO!$AF$7)/$H32*OFFSET(ORÇAMENTO!$X$15,ROW(BV32)-ROW(BV$15),0),0)</f>
        <v>0</v>
      </c>
      <c r="BW32" s="628">
        <f ca="1">IF(AND($D32="Serviço",BW$12&lt;&gt;0,$H32&gt;0,OR(AUTOEVENTO&lt;&gt;"manual",$M32&lt;&gt;1)),ROUND(OFFSET($P32,0,BW$13),15-13*ORÇAMENTO!$AF$7)/$H32*OFFSET(ORÇAMENTO!$X$15,ROW(BW32)-ROW(BW$15),0),0)</f>
        <v>0</v>
      </c>
      <c r="BX32" s="628">
        <f ca="1">IF(AND($D32="Serviço",BX$12&lt;&gt;0,$H32&gt;0,OR(AUTOEVENTO&lt;&gt;"manual",$M32&lt;&gt;1)),ROUND(OFFSET($P32,0,BX$13),15-13*ORÇAMENTO!$AF$7)/$H32*OFFSET(ORÇAMENTO!$X$15,ROW(BX32)-ROW(BX$15),0),0)</f>
        <v>0</v>
      </c>
      <c r="BY32" s="629">
        <f ca="1">IF(AND($D32="Serviço",BY$12&lt;&gt;0,$H32&gt;0,OR(AUTOEVENTO&lt;&gt;"manual",$M32&lt;&gt;1)),ROUND(OFFSET($P32,0,BY$13),15-13*ORÇAMENTO!$AF$7)/$H32*OFFSET(ORÇAMENTO!$X$15,ROW(BY32)-ROW(BY$15),0),0)</f>
        <v>0</v>
      </c>
      <c r="BZ32" s="628">
        <f ca="1">IF(AND($D32="Serviço",BZ$12&lt;&gt;0,$H32&gt;0,OR(AUTOEVENTO&lt;&gt;"manual",$M32&lt;&gt;1)),ROUND(OFFSET($P32,0,BZ$13),15-13*ORÇAMENTO!$AF$7)/$H32*OFFSET(ORÇAMENTO!$X$15,ROW(BZ32)-ROW(BZ$15),0),0)</f>
        <v>0</v>
      </c>
      <c r="CA32" s="628">
        <f ca="1">IF(AND($D32="Serviço",CA$12&lt;&gt;0,$H32&gt;0,OR(AUTOEVENTO&lt;&gt;"manual",$M32&lt;&gt;1)),ROUND(OFFSET($P32,0,CA$13),15-13*ORÇAMENTO!$AF$7)/$H32*OFFSET(ORÇAMENTO!$X$15,ROW(CA32)-ROW(CA$15),0),0)</f>
        <v>0</v>
      </c>
      <c r="CB32" s="628">
        <f ca="1">IF(AND($D32="Serviço",CB$12&lt;&gt;0,$H32&gt;0,OR(AUTOEVENTO&lt;&gt;"manual",$M32&lt;&gt;1)),ROUND(OFFSET($P32,0,CB$13),15-13*ORÇAMENTO!$AF$7)/$H32*OFFSET(ORÇAMENTO!$X$15,ROW(CB32)-ROW(CB$15),0),0)</f>
        <v>0</v>
      </c>
      <c r="CC32" s="628">
        <f ca="1">IF(AND($D32="Serviço",CC$12&lt;&gt;0,$H32&gt;0,OR(AUTOEVENTO&lt;&gt;"manual",$M32&lt;&gt;1)),ROUND(OFFSET($P32,0,CC$13),15-13*ORÇAMENTO!$AF$7)/$H32*OFFSET(ORÇAMENTO!$X$15,ROW(CC32)-ROW(CC$15),0),0)</f>
        <v>0</v>
      </c>
      <c r="CD32" s="628">
        <f ca="1">IF(AND($D32="Serviço",CD$12&lt;&gt;0,$H32&gt;0,OR(AUTOEVENTO&lt;&gt;"manual",$M32&lt;&gt;1)),ROUND(OFFSET($P32,0,CD$13),15-13*ORÇAMENTO!$AF$7)/$H32*OFFSET(ORÇAMENTO!$X$15,ROW(CD32)-ROW(CD$15),0),0)</f>
        <v>0</v>
      </c>
      <c r="CE32" s="628">
        <f ca="1">IF(AND($D32="Serviço",CE$12&lt;&gt;0,$H32&gt;0,OR(AUTOEVENTO&lt;&gt;"manual",$M32&lt;&gt;1)),ROUND(OFFSET($P32,0,CE$13),15-13*ORÇAMENTO!$AF$7)/$H32*OFFSET(ORÇAMENTO!$X$15,ROW(CE32)-ROW(CE$15),0),0)</f>
        <v>0</v>
      </c>
      <c r="CF32" s="628">
        <f ca="1">IF(AND($D32="Serviço",CF$12&lt;&gt;0,$H32&gt;0,OR(AUTOEVENTO&lt;&gt;"manual",$M32&lt;&gt;1)),ROUND(OFFSET($P32,0,CF$13),15-13*ORÇAMENTO!$AF$7)/$H32*OFFSET(ORÇAMENTO!$X$15,ROW(CF32)-ROW(CF$15),0),0)</f>
        <v>0</v>
      </c>
      <c r="CG32" s="629">
        <f ca="1">IF(AND($D32="Serviço",CG$12&lt;&gt;0,$H32&gt;0,OR(AUTOEVENTO&lt;&gt;"manual",$M32&lt;&gt;1)),ROUND(OFFSET($P32,0,CG$13),15-13*ORÇAMENTO!$AF$7)/$H32*OFFSET(ORÇAMENTO!$X$15,ROW(CG32)-ROW(CG$15),0),0)</f>
        <v>0</v>
      </c>
      <c r="CH32" s="628">
        <f ca="1">IF(AND($D32="Serviço",CH$12&lt;&gt;0,$H32&gt;0,OR(AUTOEVENTO&lt;&gt;"manual",$M32&lt;&gt;1)),ROUND(OFFSET($P32,0,CH$13),15-13*ORÇAMENTO!$AF$7)/$H32*OFFSET(ORÇAMENTO!$X$15,ROW(CH32)-ROW(CH$15),0),0)</f>
        <v>0</v>
      </c>
      <c r="CI32" s="628">
        <f ca="1">IF(AND($D32="Serviço",CI$12&lt;&gt;0,$H32&gt;0,OR(AUTOEVENTO&lt;&gt;"manual",$M32&lt;&gt;1)),ROUND(OFFSET($P32,0,CI$13),15-13*ORÇAMENTO!$AF$7)/$H32*OFFSET(ORÇAMENTO!$X$15,ROW(CI32)-ROW(CI$15),0),0)</f>
        <v>0</v>
      </c>
      <c r="CJ32" s="628">
        <f ca="1">IF(AND($D32="Serviço",CJ$12&lt;&gt;0,$H32&gt;0,OR(AUTOEVENTO&lt;&gt;"manual",$M32&lt;&gt;1)),ROUND(OFFSET($P32,0,CJ$13),15-13*ORÇAMENTO!$AF$7)/$H32*OFFSET(ORÇAMENTO!$X$15,ROW(CJ32)-ROW(CJ$15),0),0)</f>
        <v>0</v>
      </c>
      <c r="CK32" s="628">
        <f ca="1">IF(AND($D32="Serviço",CK$12&lt;&gt;0,$H32&gt;0,OR(AUTOEVENTO&lt;&gt;"manual",$M32&lt;&gt;1)),ROUND(OFFSET($P32,0,CK$13),15-13*ORÇAMENTO!$AF$7)/$H32*OFFSET(ORÇAMENTO!$X$15,ROW(CK32)-ROW(CK$15),0),0)</f>
        <v>0</v>
      </c>
      <c r="CL32" s="628">
        <f ca="1">IF(AND($D32="Serviço",CL$12&lt;&gt;0,$H32&gt;0,OR(AUTOEVENTO&lt;&gt;"manual",$M32&lt;&gt;1)),ROUND(OFFSET($P32,0,CL$13),15-13*ORÇAMENTO!$AF$7)/$H32*OFFSET(ORÇAMENTO!$X$15,ROW(CL32)-ROW(CL$15),0),0)</f>
        <v>0</v>
      </c>
      <c r="CM32" s="628">
        <f ca="1">IF(AND($D32="Serviço",CM$12&lt;&gt;0,$H32&gt;0,OR(AUTOEVENTO&lt;&gt;"manual",$M32&lt;&gt;1)),ROUND(OFFSET($P32,0,CM$13),15-13*ORÇAMENTO!$AF$7)/$H32*OFFSET(ORÇAMENTO!$X$15,ROW(CM32)-ROW(CM$15),0),0)</f>
        <v>0</v>
      </c>
      <c r="CN32" s="628">
        <f ca="1">IF(AND($D32="Serviço",CN$12&lt;&gt;0,$H32&gt;0,OR(AUTOEVENTO&lt;&gt;"manual",$M32&lt;&gt;1)),ROUND(OFFSET($P32,0,CN$13),15-13*ORÇAMENTO!$AF$7)/$H32*OFFSET(ORÇAMENTO!$X$15,ROW(CN32)-ROW(CN$15),0),0)</f>
        <v>0</v>
      </c>
      <c r="CO32" s="629">
        <f ca="1">IF(AND($D32="Serviço",CO$12&lt;&gt;0,$H32&gt;0,OR(AUTOEVENTO&lt;&gt;"manual",$M32&lt;&gt;1)),ROUND(OFFSET($P32,0,CO$13),15-13*ORÇAMENTO!$AF$7)/$H32*OFFSET(ORÇAMENTO!$X$15,ROW(CO32)-ROW(CO$15),0),0)</f>
        <v>0</v>
      </c>
      <c r="CP32" s="628">
        <f ca="1">IF(AND($D32="Serviço",CP$12&lt;&gt;0,$H32&gt;0,OR(AUTOEVENTO&lt;&gt;"manual",$M32&lt;&gt;1)),ROUND(OFFSET($P32,0,CP$13),15-13*ORÇAMENTO!$AF$7)/$H32*OFFSET(ORÇAMENTO!$X$15,ROW(CP32)-ROW(CP$15),0),0)</f>
        <v>0</v>
      </c>
      <c r="CQ32" s="628">
        <f ca="1">IF(AND($D32="Serviço",CQ$12&lt;&gt;0,$H32&gt;0,OR(AUTOEVENTO&lt;&gt;"manual",$M32&lt;&gt;1)),ROUND(OFFSET($P32,0,CQ$13),15-13*ORÇAMENTO!$AF$7)/$H32*OFFSET(ORÇAMENTO!$X$15,ROW(CQ32)-ROW(CQ$15),0),0)</f>
        <v>0</v>
      </c>
      <c r="CR32" s="628">
        <f ca="1">IF(AND($D32="Serviço",CR$12&lt;&gt;0,$H32&gt;0,OR(AUTOEVENTO&lt;&gt;"manual",$M32&lt;&gt;1)),ROUND(OFFSET($P32,0,CR$13),15-13*ORÇAMENTO!$AF$7)/$H32*OFFSET(ORÇAMENTO!$X$15,ROW(CR32)-ROW(CR$15),0),0)</f>
        <v>0</v>
      </c>
      <c r="CS32" s="628">
        <f ca="1">IF(AND($D32="Serviço",CS$12&lt;&gt;0,$H32&gt;0,OR(AUTOEVENTO&lt;&gt;"manual",$M32&lt;&gt;1)),ROUND(OFFSET($P32,0,CS$13),15-13*ORÇAMENTO!$AF$7)/$H32*OFFSET(ORÇAMENTO!$X$15,ROW(CS32)-ROW(CS$15),0),0)</f>
        <v>0</v>
      </c>
      <c r="CT32" s="628">
        <f ca="1">IF(AND($D32="Serviço",CT$12&lt;&gt;0,$H32&gt;0,OR(AUTOEVENTO&lt;&gt;"manual",$M32&lt;&gt;1)),ROUND(OFFSET($P32,0,CT$13),15-13*ORÇAMENTO!$AF$7)/$H32*OFFSET(ORÇAMENTO!$X$15,ROW(CT32)-ROW(CT$15),0),0)</f>
        <v>0</v>
      </c>
      <c r="CU32" s="628">
        <f ca="1">IF(AND($D32="Serviço",CU$12&lt;&gt;0,$H32&gt;0,OR(AUTOEVENTO&lt;&gt;"manual",$M32&lt;&gt;1)),ROUND(OFFSET($P32,0,CU$13),15-13*ORÇAMENTO!$AF$7)/$H32*OFFSET(ORÇAMENTO!$X$15,ROW(CU32)-ROW(CU$15),0),0)</f>
        <v>0</v>
      </c>
      <c r="CV32" s="628">
        <f ca="1">IF(AND($D32="Serviço",CV$12&lt;&gt;0,$H32&gt;0,OR(AUTOEVENTO&lt;&gt;"manual",$M32&lt;&gt;1)),ROUND(OFFSET($P32,0,CV$13),15-13*ORÇAMENTO!$AF$7)/$H32*OFFSET(ORÇAMENTO!$X$15,ROW(CV32)-ROW(CV$15),0),0)</f>
        <v>0</v>
      </c>
      <c r="CW32" s="629">
        <f ca="1">IF(AND($D32="Serviço",CW$12&lt;&gt;0,$H32&gt;0,OR(AUTOEVENTO&lt;&gt;"manual",$M32&lt;&gt;1)),ROUND(OFFSET($P32,0,CW$13),15-13*ORÇAMENTO!$AF$7)/$H32*OFFSET(ORÇAMENTO!$X$15,ROW(CW32)-ROW(CW$15),0),0)</f>
        <v>0</v>
      </c>
      <c r="CX32" s="628">
        <f ca="1">IF(AND($D32="Serviço",CX$12&lt;&gt;0,$H32&gt;0,OR(AUTOEVENTO&lt;&gt;"manual",$M32&lt;&gt;1)),ROUND(OFFSET($P32,0,CX$13),15-13*ORÇAMENTO!$AF$7)/$H32*OFFSET(ORÇAMENTO!$X$15,ROW(CX32)-ROW(CX$15),0),0)</f>
        <v>0</v>
      </c>
      <c r="CY32" s="628">
        <f ca="1">IF(AND($D32="Serviço",CY$12&lt;&gt;0,$H32&gt;0,OR(AUTOEVENTO&lt;&gt;"manual",$M32&lt;&gt;1)),ROUND(OFFSET($P32,0,CY$13),15-13*ORÇAMENTO!$AF$7)/$H32*OFFSET(ORÇAMENTO!$X$15,ROW(CY32)-ROW(CY$15),0),0)</f>
        <v>0</v>
      </c>
      <c r="CZ32" s="628">
        <f ca="1">IF(AND($D32="Serviço",CZ$12&lt;&gt;0,$H32&gt;0,OR(AUTOEVENTO&lt;&gt;"manual",$M32&lt;&gt;1)),ROUND(OFFSET($P32,0,CZ$13),15-13*ORÇAMENTO!$AF$7)/$H32*OFFSET(ORÇAMENTO!$X$15,ROW(CZ32)-ROW(CZ$15),0),0)</f>
        <v>0</v>
      </c>
      <c r="DA32" s="628">
        <f ca="1">IF(AND($D32="Serviço",DA$12&lt;&gt;0,$H32&gt;0,OR(AUTOEVENTO&lt;&gt;"manual",$M32&lt;&gt;1)),ROUND(OFFSET($P32,0,DA$13),15-13*ORÇAMENTO!$AF$7)/$H32*OFFSET(ORÇAMENTO!$X$15,ROW(DA32)-ROW(DA$15),0),0)</f>
        <v>0</v>
      </c>
      <c r="DB32" s="628">
        <f ca="1">IF(AND($D32="Serviço",DB$12&lt;&gt;0,$H32&gt;0,OR(AUTOEVENTO&lt;&gt;"manual",$M32&lt;&gt;1)),ROUND(OFFSET($P32,0,DB$13),15-13*ORÇAMENTO!$AF$7)/$H32*OFFSET(ORÇAMENTO!$X$15,ROW(DB32)-ROW(DB$15),0),0)</f>
        <v>0</v>
      </c>
      <c r="DC32" s="628">
        <f ca="1">IF(AND($D32="Serviço",DC$12&lt;&gt;0,$H32&gt;0,OR(AUTOEVENTO&lt;&gt;"manual",$M32&lt;&gt;1)),ROUND(OFFSET($P32,0,DC$13),15-13*ORÇAMENTO!$AF$7)/$H32*OFFSET(ORÇAMENTO!$X$15,ROW(DC32)-ROW(DC$15),0),0)</f>
        <v>0</v>
      </c>
      <c r="DD32" s="628">
        <f ca="1">IF(AND($D32="Serviço",DD$12&lt;&gt;0,$H32&gt;0,OR(AUTOEVENTO&lt;&gt;"manual",$M32&lt;&gt;1)),ROUND(OFFSET($P32,0,DD$13),15-13*ORÇAMENTO!$AF$7)/$H32*OFFSET(ORÇAMENTO!$X$15,ROW(DD32)-ROW(DD$15),0),0)</f>
        <v>0</v>
      </c>
      <c r="DE32" s="629">
        <f ca="1">IF(AND($D32="Serviço",DE$12&lt;&gt;0,$H32&gt;0,OR(AUTOEVENTO&lt;&gt;"manual",$M32&lt;&gt;1)),ROUND(OFFSET($P32,0,DE$13),15-13*ORÇAMENTO!$AF$7)/$H32*OFFSET(ORÇAMENTO!$X$15,ROW(DE32)-ROW(DE$15),0),0)</f>
        <v>0</v>
      </c>
      <c r="DF32" s="628">
        <f ca="1">IF(AND($D32="Serviço",DF$12&lt;&gt;0,$H32&gt;0,OR(AUTOEVENTO&lt;&gt;"manual",$M32&lt;&gt;1)),ROUND(OFFSET($P32,0,DF$13),15-13*ORÇAMENTO!$AF$7)/$H32*OFFSET(ORÇAMENTO!$X$15,ROW(DF32)-ROW(DF$15),0),0)</f>
        <v>0</v>
      </c>
      <c r="DG32" s="628">
        <f ca="1">IF(AND($D32="Serviço",DG$12&lt;&gt;0,$H32&gt;0,OR(AUTOEVENTO&lt;&gt;"manual",$M32&lt;&gt;1)),ROUND(OFFSET($P32,0,DG$13),15-13*ORÇAMENTO!$AF$7)/$H32*OFFSET(ORÇAMENTO!$X$15,ROW(DG32)-ROW(DG$15),0),0)</f>
        <v>0</v>
      </c>
      <c r="DH32" s="628">
        <f ca="1">IF(AND($D32="Serviço",DH$12&lt;&gt;0,$H32&gt;0,OR(AUTOEVENTO&lt;&gt;"manual",$M32&lt;&gt;1)),ROUND(OFFSET($P32,0,DH$13),15-13*ORÇAMENTO!$AF$7)/$H32*OFFSET(ORÇAMENTO!$X$15,ROW(DH32)-ROW(DH$15),0),0)</f>
        <v>0</v>
      </c>
      <c r="DI32" s="628">
        <f ca="1">IF(AND($D32="Serviço",DI$12&lt;&gt;0,$H32&gt;0,OR(AUTOEVENTO&lt;&gt;"manual",$M32&lt;&gt;1)),ROUND(OFFSET($P32,0,DI$13),15-13*ORÇAMENTO!$AF$7)/$H32*OFFSET(ORÇAMENTO!$X$15,ROW(DI32)-ROW(DI$15),0),0)</f>
        <v>0</v>
      </c>
      <c r="DJ32" s="628">
        <f ca="1">IF(AND($D32="Serviço",DJ$12&lt;&gt;0,$H32&gt;0,OR(AUTOEVENTO&lt;&gt;"manual",$M32&lt;&gt;1)),ROUND(OFFSET($P32,0,DJ$13),15-13*ORÇAMENTO!$AF$7)/$H32*OFFSET(ORÇAMENTO!$X$15,ROW(DJ32)-ROW(DJ$15),0),0)</f>
        <v>0</v>
      </c>
      <c r="DK32" s="628">
        <f ca="1">IF(AND($D32="Serviço",DK$12&lt;&gt;0,$H32&gt;0,OR(AUTOEVENTO&lt;&gt;"manual",$M32&lt;&gt;1)),ROUND(OFFSET($P32,0,DK$13),15-13*ORÇAMENTO!$AF$7)/$H32*OFFSET(ORÇAMENTO!$X$15,ROW(DK32)-ROW(DK$15),0),0)</f>
        <v>0</v>
      </c>
      <c r="DL32" s="628">
        <f ca="1">IF(AND($D32="Serviço",DL$12&lt;&gt;0,$H32&gt;0,OR(AUTOEVENTO&lt;&gt;"manual",$M32&lt;&gt;1)),ROUND(OFFSET($P32,0,DL$13),15-13*ORÇAMENTO!$AF$7)/$H32*OFFSET(ORÇAMENTO!$X$15,ROW(DL32)-ROW(DL$15),0),0)</f>
        <v>0</v>
      </c>
      <c r="DM32" s="629">
        <f ca="1">IF(AND($D32="Serviço",DM$12&lt;&gt;0,$H32&gt;0,OR(AUTOEVENTO&lt;&gt;"manual",$M32&lt;&gt;1)),ROUND(OFFSET($P32,0,DM$13),15-13*ORÇAMENTO!$AF$7)/$H32*OFFSET(ORÇAMENTO!$X$15,ROW(DM32)-ROW(DM$15),0),0)</f>
        <v>0</v>
      </c>
      <c r="DO32" s="211">
        <f ca="1">IF($D32&lt;&gt;"Serviço",0,IF(AND(AUTOEVENTO="Manual",$M32=1),0,IF(OFFSET(CRONOPLE!$F$14,$M32,DO$13)="",10^12,OFFSET(CRONOPLE!$F$14,$M32,DO$13))))</f>
        <v>1</v>
      </c>
      <c r="DP32" s="211">
        <f ca="1">IF($D32&lt;&gt;"Serviço",0,IF(AND(AUTOEVENTO="Manual",$M32=1),0,IF(OFFSET(CRONOPLE!$F$14,$M32,DP$13)="",10^12,OFFSET(CRONOPLE!$F$14,$M32,DP$13))))</f>
        <v>3</v>
      </c>
      <c r="DQ32" s="211">
        <f ca="1">IF($D32&lt;&gt;"Serviço",0,IF(AND(AUTOEVENTO="Manual",$M32=1),0,IF(OFFSET(CRONOPLE!$F$14,$M32,DQ$13)="",10^12,OFFSET(CRONOPLE!$F$14,$M32,DQ$13))))</f>
        <v>3</v>
      </c>
      <c r="DR32" s="211">
        <f ca="1">IF($D32&lt;&gt;"Serviço",0,IF(AND(AUTOEVENTO="Manual",$M32=1),0,IF(OFFSET(CRONOPLE!$F$14,$M32,DR$13)="",10^12,OFFSET(CRONOPLE!$F$14,$M32,DR$13))))</f>
        <v>1000000000000</v>
      </c>
      <c r="DS32" s="211">
        <f ca="1">IF($D32&lt;&gt;"Serviço",0,IF(AND(AUTOEVENTO="Manual",$M32=1),0,IF(OFFSET(CRONOPLE!$F$14,$M32,DS$13)="",10^12,OFFSET(CRONOPLE!$F$14,$M32,DS$13))))</f>
        <v>1000000000000</v>
      </c>
      <c r="DT32" s="211">
        <f ca="1">IF($D32&lt;&gt;"Serviço",0,IF(AND(AUTOEVENTO="Manual",$M32=1),0,IF(OFFSET(CRONOPLE!$F$14,$M32,DT$13)="",10^12,OFFSET(CRONOPLE!$F$14,$M32,DT$13))))</f>
        <v>1000000000000</v>
      </c>
      <c r="DU32" s="211">
        <f ca="1">IF($D32&lt;&gt;"Serviço",0,IF(AND(AUTOEVENTO="Manual",$M32=1),0,IF(OFFSET(CRONOPLE!$F$14,$M32,DU$13)="",10^12,OFFSET(CRONOPLE!$F$14,$M32,DU$13))))</f>
        <v>1000000000000</v>
      </c>
      <c r="DV32" s="211">
        <f ca="1">IF($D32&lt;&gt;"Serviço",0,IF(AND(AUTOEVENTO="Manual",$M32=1),0,IF(OFFSET(CRONOPLE!$F$14,$M32,DV$13)="",10^12,OFFSET(CRONOPLE!$F$14,$M32,DV$13))))</f>
        <v>1000000000000</v>
      </c>
      <c r="DW32" s="211">
        <f ca="1">IF($D32&lt;&gt;"Serviço",0,IF(AND(AUTOEVENTO="Manual",$M32=1),0,IF(OFFSET(CRONOPLE!$F$14,$M32,DW$13)="",10^12,OFFSET(CRONOPLE!$F$14,$M32,DW$13))))</f>
        <v>1000000000000</v>
      </c>
      <c r="DX32" s="211">
        <f ca="1">IF($D32&lt;&gt;"Serviço",0,IF(AND(AUTOEVENTO="Manual",$M32=1),0,IF(OFFSET(CRONOPLE!$F$14,$M32,DX$13)="",10^12,OFFSET(CRONOPLE!$F$14,$M32,DX$13))))</f>
        <v>1000000000000</v>
      </c>
      <c r="DY32" s="211">
        <f ca="1">IF($D32&lt;&gt;"Serviço",0,IF(AND(AUTOEVENTO="Manual",$M32=1),0,IF(OFFSET(CRONOPLE!$F$14,$M32,DY$13)="",10^12,OFFSET(CRONOPLE!$F$14,$M32,DY$13))))</f>
        <v>1000000000000</v>
      </c>
      <c r="DZ32" s="211">
        <f ca="1">IF($D32&lt;&gt;"Serviço",0,IF(AND(AUTOEVENTO="Manual",$M32=1),0,IF(OFFSET(CRONOPLE!$F$14,$M32,DZ$13)="",10^12,OFFSET(CRONOPLE!$F$14,$M32,DZ$13))))</f>
        <v>1000000000000</v>
      </c>
      <c r="EA32" s="211">
        <f ca="1">IF($D32&lt;&gt;"Serviço",0,IF(AND(AUTOEVENTO="Manual",$M32=1),0,IF(OFFSET(CRONOPLE!$F$14,$M32,EA$13)="",10^12,OFFSET(CRONOPLE!$F$14,$M32,EA$13))))</f>
        <v>1000000000000</v>
      </c>
      <c r="EB32" s="211">
        <f ca="1">IF($D32&lt;&gt;"Serviço",0,IF(AND(AUTOEVENTO="Manual",$M32=1),0,IF(OFFSET(CRONOPLE!$F$14,$M32,EB$13)="",10^12,OFFSET(CRONOPLE!$F$14,$M32,EB$13))))</f>
        <v>1000000000000</v>
      </c>
      <c r="EC32" s="211">
        <f ca="1">IF($D32&lt;&gt;"Serviço",0,IF(AND(AUTOEVENTO="Manual",$M32=1),0,IF(OFFSET(CRONOPLE!$F$14,$M32,EC$13)="",10^12,OFFSET(CRONOPLE!$F$14,$M32,EC$13))))</f>
        <v>1000000000000</v>
      </c>
      <c r="ED32" s="211">
        <f ca="1">IF($D32&lt;&gt;"Serviço",0,IF(AND(AUTOEVENTO="Manual",$M32=1),0,IF(OFFSET(CRONOPLE!$F$14,$M32,ED$13)="",10^12,OFFSET(CRONOPLE!$F$14,$M32,ED$13))))</f>
        <v>1000000000000</v>
      </c>
      <c r="EE32" s="211">
        <f ca="1">IF($D32&lt;&gt;"Serviço",0,IF(AND(AUTOEVENTO="Manual",$M32=1),0,IF(OFFSET(CRONOPLE!$F$14,$M32,EE$13)="",10^12,OFFSET(CRONOPLE!$F$14,$M32,EE$13))))</f>
        <v>1000000000000</v>
      </c>
      <c r="EF32" s="211">
        <f ca="1">IF($D32&lt;&gt;"Serviço",0,IF(AND(AUTOEVENTO="Manual",$M32=1),0,IF(OFFSET(CRONOPLE!$F$14,$M32,EF$13)="",10^12,OFFSET(CRONOPLE!$F$14,$M32,EF$13))))</f>
        <v>1000000000000</v>
      </c>
      <c r="EG32" s="211">
        <f ca="1">IF($D32&lt;&gt;"Serviço",0,IF(AND(AUTOEVENTO="Manual",$M32=1),0,IF(OFFSET(CRONOPLE!$F$14,$M32,EG$13)="",10^12,OFFSET(CRONOPLE!$F$14,$M32,EG$13))))</f>
        <v>1000000000000</v>
      </c>
      <c r="EH32" s="211">
        <f ca="1">IF($D32&lt;&gt;"Serviço",0,IF(AND(AUTOEVENTO="Manual",$M32=1),0,IF(OFFSET(CRONOPLE!$F$14,$M32,EH$13)="",10^12,OFFSET(CRONOPLE!$F$14,$M32,EH$13))))</f>
        <v>1000000000000</v>
      </c>
      <c r="EI32" s="211">
        <f ca="1">IF($D32&lt;&gt;"Serviço",0,IF(AND(AUTOEVENTO="Manual",$M32=1),0,IF(OFFSET(CRONOPLE!$F$14,$M32,EI$13)="",10^12,OFFSET(CRONOPLE!$F$14,$M32,EI$13))))</f>
        <v>1000000000000</v>
      </c>
      <c r="EJ32" s="211">
        <f ca="1">IF($D32&lt;&gt;"Serviço",0,IF(AND(AUTOEVENTO="Manual",$M32=1),0,IF(OFFSET(CRONOPLE!$F$14,$M32,EJ$13)="",10^12,OFFSET(CRONOPLE!$F$14,$M32,EJ$13))))</f>
        <v>1000000000000</v>
      </c>
      <c r="EK32" s="211">
        <f ca="1">IF($D32&lt;&gt;"Serviço",0,IF(AND(AUTOEVENTO="Manual",$M32=1),0,IF(OFFSET(CRONOPLE!$F$14,$M32,EK$13)="",10^12,OFFSET(CRONOPLE!$F$14,$M32,EK$13))))</f>
        <v>1000000000000</v>
      </c>
      <c r="EL32" s="211">
        <f ca="1">IF($D32&lt;&gt;"Serviço",0,IF(AND(AUTOEVENTO="Manual",$M32=1),0,IF(OFFSET(CRONOPLE!$F$14,$M32,EL$13)="",10^12,OFFSET(CRONOPLE!$F$14,$M32,EL$13))))</f>
        <v>1000000000000</v>
      </c>
      <c r="EM32" s="211">
        <f ca="1">IF($D32&lt;&gt;"Serviço",0,IF(AND(AUTOEVENTO="Manual",$M32=1),0,IF(OFFSET(CRONOPLE!$F$14,$M32,EM$13)="",10^12,OFFSET(CRONOPLE!$F$14,$M32,EM$13))))</f>
        <v>1000000000000</v>
      </c>
      <c r="EN32" s="211">
        <f ca="1">IF($D32&lt;&gt;"Serviço",0,IF(AND(AUTOEVENTO="Manual",$M32=1),0,IF(OFFSET(CRONOPLE!$F$14,$M32,EN$13)="",10^12,OFFSET(CRONOPLE!$F$14,$M32,EN$13))))</f>
        <v>1000000000000</v>
      </c>
      <c r="EO32" s="211">
        <f ca="1">IF($D32&lt;&gt;"Serviço",0,IF(AND(AUTOEVENTO="Manual",$M32=1),0,IF(OFFSET(CRONOPLE!$F$14,$M32,EO$13)="",10^12,OFFSET(CRONOPLE!$F$14,$M32,EO$13))))</f>
        <v>1000000000000</v>
      </c>
      <c r="EP32" s="211">
        <f ca="1">IF($D32&lt;&gt;"Serviço",0,IF(AND(AUTOEVENTO="Manual",$M32=1),0,IF(OFFSET(CRONOPLE!$F$14,$M32,EP$13)="",10^12,OFFSET(CRONOPLE!$F$14,$M32,EP$13))))</f>
        <v>1000000000000</v>
      </c>
      <c r="EQ32" s="211">
        <f ca="1">IF($D32&lt;&gt;"Serviço",0,IF(AND(AUTOEVENTO="Manual",$M32=1),0,IF(OFFSET(CRONOPLE!$F$14,$M32,EQ$13)="",10^12,OFFSET(CRONOPLE!$F$14,$M32,EQ$13))))</f>
        <v>1000000000000</v>
      </c>
      <c r="ER32" s="211">
        <f ca="1">IF($D32&lt;&gt;"Serviço",0,IF(AND(AUTOEVENTO="Manual",$M32=1),0,IF(OFFSET(CRONOPLE!$F$14,$M32,ER$13)="",10^12,OFFSET(CRONOPLE!$F$14,$M32,ER$13))))</f>
        <v>1000000000000</v>
      </c>
      <c r="ES32" s="211">
        <f ca="1">IF($D32&lt;&gt;"Serviço",0,IF(AND(AUTOEVENTO="Manual",$M32=1),0,IF(OFFSET(CRONOPLE!$F$14,$M32,ES$13)="",10^12,OFFSET(CRONOPLE!$F$14,$M32,ES$13))))</f>
        <v>1000000000000</v>
      </c>
      <c r="ET32" s="211">
        <f ca="1">IF($D32&lt;&gt;"Serviço",0,IF(AND(AUTOEVENTO="Manual",$M32=1),0,IF(OFFSET(CRONOPLE!$F$14,$M32,ET$13)="",10^12,OFFSET(CRONOPLE!$F$14,$M32,ET$13))))</f>
        <v>1000000000000</v>
      </c>
      <c r="EU32" s="211">
        <f ca="1">IF($D32&lt;&gt;"Serviço",0,IF(AND(AUTOEVENTO="Manual",$M32=1),0,IF(OFFSET(CRONOPLE!$F$14,$M32,EU$13)="",10^12,OFFSET(CRONOPLE!$F$14,$M32,EU$13))))</f>
        <v>1000000000000</v>
      </c>
      <c r="EV32" s="211">
        <f ca="1">IF($D32&lt;&gt;"Serviço",0,IF(AND(AUTOEVENTO="Manual",$M32=1),0,IF(OFFSET(CRONOPLE!$F$14,$M32,EV$13)="",10^12,OFFSET(CRONOPLE!$F$14,$M32,EV$13))))</f>
        <v>1000000000000</v>
      </c>
      <c r="EW32" s="211">
        <f ca="1">IF($D32&lt;&gt;"Serviço",0,IF(AND(AUTOEVENTO="Manual",$M32=1),0,IF(OFFSET(CRONOPLE!$F$14,$M32,EW$13)="",10^12,OFFSET(CRONOPLE!$F$14,$M32,EW$13))))</f>
        <v>1000000000000</v>
      </c>
      <c r="EX32" s="211">
        <f ca="1">IF($D32&lt;&gt;"Serviço",0,IF(AND(AUTOEVENTO="Manual",$M32=1),0,IF(OFFSET(CRONOPLE!$F$14,$M32,EX$13)="",10^12,OFFSET(CRONOPLE!$F$14,$M32,EX$13))))</f>
        <v>1000000000000</v>
      </c>
      <c r="EY32" s="211">
        <f ca="1">IF($D32&lt;&gt;"Serviço",0,IF(AND(AUTOEVENTO="Manual",$M32=1),0,IF(OFFSET(CRONOPLE!$F$14,$M32,EY$13)="",10^12,OFFSET(CRONOPLE!$F$14,$M32,EY$13))))</f>
        <v>1000000000000</v>
      </c>
      <c r="EZ32" s="211">
        <f ca="1">IF($D32&lt;&gt;"Serviço",0,IF(AND(AUTOEVENTO="Manual",$M32=1),0,IF(OFFSET(CRONOPLE!$F$14,$M32,EZ$13)="",10^12,OFFSET(CRONOPLE!$F$14,$M32,EZ$13))))</f>
        <v>1000000000000</v>
      </c>
      <c r="FA32" s="211">
        <f ca="1">IF($D32&lt;&gt;"Serviço",0,IF(AND(AUTOEVENTO="Manual",$M32=1),0,IF(OFFSET(CRONOPLE!$F$14,$M32,FA$13)="",10^12,OFFSET(CRONOPLE!$F$14,$M32,FA$13))))</f>
        <v>1000000000000</v>
      </c>
      <c r="FB32" s="211">
        <f ca="1">IF($D32&lt;&gt;"Serviço",0,IF(AND(AUTOEVENTO="Manual",$M32=1),0,IF(OFFSET(CRONOPLE!$F$14,$M32,FB$13)="",10^12,OFFSET(CRONOPLE!$F$14,$M32,FB$13))))</f>
        <v>1000000000000</v>
      </c>
      <c r="FC32" s="211">
        <f ca="1">IF($D32&lt;&gt;"Serviço",0,IF(AND(AUTOEVENTO="Manual",$M32=1),0,IF(OFFSET(CRONOPLE!$F$14,$M32,FC$13)="",10^12,OFFSET(CRONOPLE!$F$14,$M32,FC$13))))</f>
        <v>1000000000000</v>
      </c>
      <c r="FD32" s="211">
        <f ca="1">IF($D32&lt;&gt;"Serviço",0,IF(AND(AUTOEVENTO="Manual",$M32=1),0,IF(OFFSET(CRONOPLE!$F$14,$M32,FD$13)="",10^12,OFFSET(CRONOPLE!$F$14,$M32,FD$13))))</f>
        <v>1000000000000</v>
      </c>
      <c r="FE32" s="211">
        <f ca="1">IF($D32&lt;&gt;"Serviço",0,IF(AND(AUTOEVENTO="Manual",$M32=1),0,IF(OFFSET(CRONOPLE!$F$14,$M32,FE$13)="",10^12,OFFSET(CRONOPLE!$F$14,$M32,FE$13))))</f>
        <v>1000000000000</v>
      </c>
      <c r="FF32" s="211">
        <f ca="1">IF($D32&lt;&gt;"Serviço",0,IF(AND(AUTOEVENTO="Manual",$M32=1),0,IF(OFFSET(CRONOPLE!$F$14,$M32,FF$13)="",10^12,OFFSET(CRONOPLE!$F$14,$M32,FF$13))))</f>
        <v>1000000000000</v>
      </c>
      <c r="FG32" s="211">
        <f ca="1">IF($D32&lt;&gt;"Serviço",0,IF(AND(AUTOEVENTO="Manual",$M32=1),0,IF(OFFSET(CRONOPLE!$F$14,$M32,FG$13)="",10^12,OFFSET(CRONOPLE!$F$14,$M32,FG$13))))</f>
        <v>1000000000000</v>
      </c>
      <c r="FH32" s="211">
        <f ca="1">IF($D32&lt;&gt;"Serviço",0,IF(AND(AUTOEVENTO="Manual",$M32=1),0,IF(OFFSET(CRONOPLE!$F$14,$M32,FH$13)="",10^12,OFFSET(CRONOPLE!$F$14,$M32,FH$13))))</f>
        <v>1000000000000</v>
      </c>
      <c r="FI32" s="211">
        <f ca="1">IF($D32&lt;&gt;"Serviço",0,IF(AND(AUTOEVENTO="Manual",$M32=1),0,IF(OFFSET(CRONOPLE!$F$14,$M32,FI$13)="",10^12,OFFSET(CRONOPLE!$F$14,$M32,FI$13))))</f>
        <v>1000000000000</v>
      </c>
      <c r="FJ32" s="211">
        <f ca="1">IF($D32&lt;&gt;"Serviço",0,IF(AND(AUTOEVENTO="Manual",$M32=1),0,IF(OFFSET(CRONOPLE!$F$14,$M32,FJ$13)="",10^12,OFFSET(CRONOPLE!$F$14,$M32,FJ$13))))</f>
        <v>1000000000000</v>
      </c>
      <c r="FK32" s="211">
        <f ca="1">IF($D32&lt;&gt;"Serviço",0,IF(AND(AUTOEVENTO="Manual",$M32=1),0,IF(OFFSET(CRONOPLE!$F$14,$M32,FK$13)="",10^12,OFFSET(CRONOPLE!$F$14,$M32,FK$13))))</f>
        <v>1000000000000</v>
      </c>
      <c r="FL32" s="211">
        <f ca="1">IF($D32&lt;&gt;"Serviço",0,IF(AND(AUTOEVENTO="Manual",$M32=1),0,IF(OFFSET(CRONOPLE!$F$14,$M32,FL$13)="",10^12,OFFSET(CRONOPLE!$F$14,$M32,FL$13))))</f>
        <v>1000000000000</v>
      </c>
      <c r="FN32" s="212">
        <f ca="1">IF($D32&lt;&gt;"Serviço",0,IF(OR(AND(AUTOEVENTO="Manual",$M32=1),$M32&gt;(ROW(PLE.lastrow)-ROW(PLE.firstrow))),0,IF(OFFSET(PLE!$G$14,$M32,FN$13)="",10^12,OFFSET(PLE!$G$14,$M32,FN$13))))</f>
        <v>1000000000000</v>
      </c>
      <c r="FO32" s="212">
        <f ca="1">IF($D32&lt;&gt;"Serviço",0,IF(OR(AND(AUTOEVENTO="Manual",$M32=1),$M32&gt;(ROW(PLE.lastrow)-ROW(PLE.firstrow))),0,IF(OFFSET(PLE!$G$14,$M32,FO$13)="",10^12,OFFSET(PLE!$G$14,$M32,FO$13))))</f>
        <v>1000000000000</v>
      </c>
      <c r="FP32" s="212">
        <f ca="1">IF($D32&lt;&gt;"Serviço",0,IF(OR(AND(AUTOEVENTO="Manual",$M32=1),$M32&gt;(ROW(PLE.lastrow)-ROW(PLE.firstrow))),0,IF(OFFSET(PLE!$G$14,$M32,FP$13)="",10^12,OFFSET(PLE!$G$14,$M32,FP$13))))</f>
        <v>1000000000000</v>
      </c>
      <c r="FQ32" s="212">
        <f ca="1">IF($D32&lt;&gt;"Serviço",0,IF(OR(AND(AUTOEVENTO="Manual",$M32=1),$M32&gt;(ROW(PLE.lastrow)-ROW(PLE.firstrow))),0,IF(OFFSET(PLE!$G$14,$M32,FQ$13)="",10^12,OFFSET(PLE!$G$14,$M32,FQ$13))))</f>
        <v>1000000000000</v>
      </c>
      <c r="FR32" s="212">
        <f ca="1">IF($D32&lt;&gt;"Serviço",0,IF(OR(AND(AUTOEVENTO="Manual",$M32=1),$M32&gt;(ROW(PLE.lastrow)-ROW(PLE.firstrow))),0,IF(OFFSET(PLE!$G$14,$M32,FR$13)="",10^12,OFFSET(PLE!$G$14,$M32,FR$13))))</f>
        <v>1000000000000</v>
      </c>
      <c r="FS32" s="212">
        <f ca="1">IF($D32&lt;&gt;"Serviço",0,IF(OR(AND(AUTOEVENTO="Manual",$M32=1),$M32&gt;(ROW(PLE.lastrow)-ROW(PLE.firstrow))),0,IF(OFFSET(PLE!$G$14,$M32,FS$13)="",10^12,OFFSET(PLE!$G$14,$M32,FS$13))))</f>
        <v>1000000000000</v>
      </c>
      <c r="FT32" s="212">
        <f ca="1">IF($D32&lt;&gt;"Serviço",0,IF(OR(AND(AUTOEVENTO="Manual",$M32=1),$M32&gt;(ROW(PLE.lastrow)-ROW(PLE.firstrow))),0,IF(OFFSET(PLE!$G$14,$M32,FT$13)="",10^12,OFFSET(PLE!$G$14,$M32,FT$13))))</f>
        <v>1000000000000</v>
      </c>
      <c r="FU32" s="212">
        <f ca="1">IF($D32&lt;&gt;"Serviço",0,IF(OR(AND(AUTOEVENTO="Manual",$M32=1),$M32&gt;(ROW(PLE.lastrow)-ROW(PLE.firstrow))),0,IF(OFFSET(PLE!$G$14,$M32,FU$13)="",10^12,OFFSET(PLE!$G$14,$M32,FU$13))))</f>
        <v>1000000000000</v>
      </c>
      <c r="FV32" s="212">
        <f ca="1">IF($D32&lt;&gt;"Serviço",0,IF(OR(AND(AUTOEVENTO="Manual",$M32=1),$M32&gt;(ROW(PLE.lastrow)-ROW(PLE.firstrow))),0,IF(OFFSET(PLE!$G$14,$M32,FV$13)="",10^12,OFFSET(PLE!$G$14,$M32,FV$13))))</f>
        <v>1000000000000</v>
      </c>
      <c r="FW32" s="212">
        <f ca="1">IF($D32&lt;&gt;"Serviço",0,IF(OR(AND(AUTOEVENTO="Manual",$M32=1),$M32&gt;(ROW(PLE.lastrow)-ROW(PLE.firstrow))),0,IF(OFFSET(PLE!$G$14,$M32,FW$13)="",10^12,OFFSET(PLE!$G$14,$M32,FW$13))))</f>
        <v>1000000000000</v>
      </c>
      <c r="FX32" s="212">
        <f ca="1">IF($D32&lt;&gt;"Serviço",0,IF(OR(AND(AUTOEVENTO="Manual",$M32=1),$M32&gt;(ROW(PLE.lastrow)-ROW(PLE.firstrow))),0,IF(OFFSET(PLE!$G$14,$M32,FX$13)="",10^12,OFFSET(PLE!$G$14,$M32,FX$13))))</f>
        <v>1000000000000</v>
      </c>
      <c r="FY32" s="212">
        <f ca="1">IF($D32&lt;&gt;"Serviço",0,IF(OR(AND(AUTOEVENTO="Manual",$M32=1),$M32&gt;(ROW(PLE.lastrow)-ROW(PLE.firstrow))),0,IF(OFFSET(PLE!$G$14,$M32,FY$13)="",10^12,OFFSET(PLE!$G$14,$M32,FY$13))))</f>
        <v>1000000000000</v>
      </c>
      <c r="FZ32" s="212">
        <f ca="1">IF($D32&lt;&gt;"Serviço",0,IF(OR(AND(AUTOEVENTO="Manual",$M32=1),$M32&gt;(ROW(PLE.lastrow)-ROW(PLE.firstrow))),0,IF(OFFSET(PLE!$G$14,$M32,FZ$13)="",10^12,OFFSET(PLE!$G$14,$M32,FZ$13))))</f>
        <v>1000000000000</v>
      </c>
      <c r="GA32" s="212">
        <f ca="1">IF($D32&lt;&gt;"Serviço",0,IF(OR(AND(AUTOEVENTO="Manual",$M32=1),$M32&gt;(ROW(PLE.lastrow)-ROW(PLE.firstrow))),0,IF(OFFSET(PLE!$G$14,$M32,GA$13)="",10^12,OFFSET(PLE!$G$14,$M32,GA$13))))</f>
        <v>1000000000000</v>
      </c>
      <c r="GB32" s="212">
        <f ca="1">IF($D32&lt;&gt;"Serviço",0,IF(OR(AND(AUTOEVENTO="Manual",$M32=1),$M32&gt;(ROW(PLE.lastrow)-ROW(PLE.firstrow))),0,IF(OFFSET(PLE!$G$14,$M32,GB$13)="",10^12,OFFSET(PLE!$G$14,$M32,GB$13))))</f>
        <v>1000000000000</v>
      </c>
      <c r="GC32" s="212">
        <f ca="1">IF($D32&lt;&gt;"Serviço",0,IF(OR(AND(AUTOEVENTO="Manual",$M32=1),$M32&gt;(ROW(PLE.lastrow)-ROW(PLE.firstrow))),0,IF(OFFSET(PLE!$G$14,$M32,GC$13)="",10^12,OFFSET(PLE!$G$14,$M32,GC$13))))</f>
        <v>1000000000000</v>
      </c>
      <c r="GD32" s="212">
        <f ca="1">IF($D32&lt;&gt;"Serviço",0,IF(OR(AND(AUTOEVENTO="Manual",$M32=1),$M32&gt;(ROW(PLE.lastrow)-ROW(PLE.firstrow))),0,IF(OFFSET(PLE!$G$14,$M32,GD$13)="",10^12,OFFSET(PLE!$G$14,$M32,GD$13))))</f>
        <v>1000000000000</v>
      </c>
      <c r="GE32" s="212">
        <f ca="1">IF($D32&lt;&gt;"Serviço",0,IF(OR(AND(AUTOEVENTO="Manual",$M32=1),$M32&gt;(ROW(PLE.lastrow)-ROW(PLE.firstrow))),0,IF(OFFSET(PLE!$G$14,$M32,GE$13)="",10^12,OFFSET(PLE!$G$14,$M32,GE$13))))</f>
        <v>1000000000000</v>
      </c>
      <c r="GF32" s="212">
        <f ca="1">IF($D32&lt;&gt;"Serviço",0,IF(OR(AND(AUTOEVENTO="Manual",$M32=1),$M32&gt;(ROW(PLE.lastrow)-ROW(PLE.firstrow))),0,IF(OFFSET(PLE!$G$14,$M32,GF$13)="",10^12,OFFSET(PLE!$G$14,$M32,GF$13))))</f>
        <v>1000000000000</v>
      </c>
      <c r="GG32" s="212">
        <f ca="1">IF($D32&lt;&gt;"Serviço",0,IF(OR(AND(AUTOEVENTO="Manual",$M32=1),$M32&gt;(ROW(PLE.lastrow)-ROW(PLE.firstrow))),0,IF(OFFSET(PLE!$G$14,$M32,GG$13)="",10^12,OFFSET(PLE!$G$14,$M32,GG$13))))</f>
        <v>1000000000000</v>
      </c>
      <c r="GH32" s="212">
        <f ca="1">IF($D32&lt;&gt;"Serviço",0,IF(OR(AND(AUTOEVENTO="Manual",$M32=1),$M32&gt;(ROW(PLE.lastrow)-ROW(PLE.firstrow))),0,IF(OFFSET(PLE!$G$14,$M32,GH$13)="",10^12,OFFSET(PLE!$G$14,$M32,GH$13))))</f>
        <v>1000000000000</v>
      </c>
      <c r="GI32" s="212">
        <f ca="1">IF($D32&lt;&gt;"Serviço",0,IF(OR(AND(AUTOEVENTO="Manual",$M32=1),$M32&gt;(ROW(PLE.lastrow)-ROW(PLE.firstrow))),0,IF(OFFSET(PLE!$G$14,$M32,GI$13)="",10^12,OFFSET(PLE!$G$14,$M32,GI$13))))</f>
        <v>1000000000000</v>
      </c>
      <c r="GJ32" s="212">
        <f ca="1">IF($D32&lt;&gt;"Serviço",0,IF(OR(AND(AUTOEVENTO="Manual",$M32=1),$M32&gt;(ROW(PLE.lastrow)-ROW(PLE.firstrow))),0,IF(OFFSET(PLE!$G$14,$M32,GJ$13)="",10^12,OFFSET(PLE!$G$14,$M32,GJ$13))))</f>
        <v>1000000000000</v>
      </c>
      <c r="GK32" s="212">
        <f ca="1">IF($D32&lt;&gt;"Serviço",0,IF(OR(AND(AUTOEVENTO="Manual",$M32=1),$M32&gt;(ROW(PLE.lastrow)-ROW(PLE.firstrow))),0,IF(OFFSET(PLE!$G$14,$M32,GK$13)="",10^12,OFFSET(PLE!$G$14,$M32,GK$13))))</f>
        <v>1000000000000</v>
      </c>
      <c r="GL32" s="212">
        <f ca="1">IF($D32&lt;&gt;"Serviço",0,IF(OR(AND(AUTOEVENTO="Manual",$M32=1),$M32&gt;(ROW(PLE.lastrow)-ROW(PLE.firstrow))),0,IF(OFFSET(PLE!$G$14,$M32,GL$13)="",10^12,OFFSET(PLE!$G$14,$M32,GL$13))))</f>
        <v>1000000000000</v>
      </c>
      <c r="GM32" s="212">
        <f ca="1">IF($D32&lt;&gt;"Serviço",0,IF(OR(AND(AUTOEVENTO="Manual",$M32=1),$M32&gt;(ROW(PLE.lastrow)-ROW(PLE.firstrow))),0,IF(OFFSET(PLE!$G$14,$M32,GM$13)="",10^12,OFFSET(PLE!$G$14,$M32,GM$13))))</f>
        <v>1000000000000</v>
      </c>
      <c r="GN32" s="212">
        <f ca="1">IF($D32&lt;&gt;"Serviço",0,IF(OR(AND(AUTOEVENTO="Manual",$M32=1),$M32&gt;(ROW(PLE.lastrow)-ROW(PLE.firstrow))),0,IF(OFFSET(PLE!$G$14,$M32,GN$13)="",10^12,OFFSET(PLE!$G$14,$M32,GN$13))))</f>
        <v>1000000000000</v>
      </c>
      <c r="GO32" s="212">
        <f ca="1">IF($D32&lt;&gt;"Serviço",0,IF(OR(AND(AUTOEVENTO="Manual",$M32=1),$M32&gt;(ROW(PLE.lastrow)-ROW(PLE.firstrow))),0,IF(OFFSET(PLE!$G$14,$M32,GO$13)="",10^12,OFFSET(PLE!$G$14,$M32,GO$13))))</f>
        <v>1000000000000</v>
      </c>
      <c r="GP32" s="212">
        <f ca="1">IF($D32&lt;&gt;"Serviço",0,IF(OR(AND(AUTOEVENTO="Manual",$M32=1),$M32&gt;(ROW(PLE.lastrow)-ROW(PLE.firstrow))),0,IF(OFFSET(PLE!$G$14,$M32,GP$13)="",10^12,OFFSET(PLE!$G$14,$M32,GP$13))))</f>
        <v>1000000000000</v>
      </c>
      <c r="GQ32" s="212">
        <f ca="1">IF($D32&lt;&gt;"Serviço",0,IF(OR(AND(AUTOEVENTO="Manual",$M32=1),$M32&gt;(ROW(PLE.lastrow)-ROW(PLE.firstrow))),0,IF(OFFSET(PLE!$G$14,$M32,GQ$13)="",10^12,OFFSET(PLE!$G$14,$M32,GQ$13))))</f>
        <v>1000000000000</v>
      </c>
      <c r="GR32" s="212">
        <f ca="1">IF($D32&lt;&gt;"Serviço",0,IF(OR(AND(AUTOEVENTO="Manual",$M32=1),$M32&gt;(ROW(PLE.lastrow)-ROW(PLE.firstrow))),0,IF(OFFSET(PLE!$G$14,$M32,GR$13)="",10^12,OFFSET(PLE!$G$14,$M32,GR$13))))</f>
        <v>1000000000000</v>
      </c>
      <c r="GS32" s="212">
        <f ca="1">IF($D32&lt;&gt;"Serviço",0,IF(OR(AND(AUTOEVENTO="Manual",$M32=1),$M32&gt;(ROW(PLE.lastrow)-ROW(PLE.firstrow))),0,IF(OFFSET(PLE!$G$14,$M32,GS$13)="",10^12,OFFSET(PLE!$G$14,$M32,GS$13))))</f>
        <v>1000000000000</v>
      </c>
      <c r="GT32" s="212">
        <f ca="1">IF($D32&lt;&gt;"Serviço",0,IF(OR(AND(AUTOEVENTO="Manual",$M32=1),$M32&gt;(ROW(PLE.lastrow)-ROW(PLE.firstrow))),0,IF(OFFSET(PLE!$G$14,$M32,GT$13)="",10^12,OFFSET(PLE!$G$14,$M32,GT$13))))</f>
        <v>1000000000000</v>
      </c>
      <c r="GU32" s="212">
        <f ca="1">IF($D32&lt;&gt;"Serviço",0,IF(OR(AND(AUTOEVENTO="Manual",$M32=1),$M32&gt;(ROW(PLE.lastrow)-ROW(PLE.firstrow))),0,IF(OFFSET(PLE!$G$14,$M32,GU$13)="",10^12,OFFSET(PLE!$G$14,$M32,GU$13))))</f>
        <v>1000000000000</v>
      </c>
      <c r="GV32" s="212">
        <f ca="1">IF($D32&lt;&gt;"Serviço",0,IF(OR(AND(AUTOEVENTO="Manual",$M32=1),$M32&gt;(ROW(PLE.lastrow)-ROW(PLE.firstrow))),0,IF(OFFSET(PLE!$G$14,$M32,GV$13)="",10^12,OFFSET(PLE!$G$14,$M32,GV$13))))</f>
        <v>1000000000000</v>
      </c>
      <c r="GW32" s="212">
        <f ca="1">IF($D32&lt;&gt;"Serviço",0,IF(OR(AND(AUTOEVENTO="Manual",$M32=1),$M32&gt;(ROW(PLE.lastrow)-ROW(PLE.firstrow))),0,IF(OFFSET(PLE!$G$14,$M32,GW$13)="",10^12,OFFSET(PLE!$G$14,$M32,GW$13))))</f>
        <v>1000000000000</v>
      </c>
      <c r="GX32" s="212">
        <f ca="1">IF($D32&lt;&gt;"Serviço",0,IF(OR(AND(AUTOEVENTO="Manual",$M32=1),$M32&gt;(ROW(PLE.lastrow)-ROW(PLE.firstrow))),0,IF(OFFSET(PLE!$G$14,$M32,GX$13)="",10^12,OFFSET(PLE!$G$14,$M32,GX$13))))</f>
        <v>1000000000000</v>
      </c>
      <c r="GY32" s="212">
        <f ca="1">IF($D32&lt;&gt;"Serviço",0,IF(OR(AND(AUTOEVENTO="Manual",$M32=1),$M32&gt;(ROW(PLE.lastrow)-ROW(PLE.firstrow))),0,IF(OFFSET(PLE!$G$14,$M32,GY$13)="",10^12,OFFSET(PLE!$G$14,$M32,GY$13))))</f>
        <v>1000000000000</v>
      </c>
      <c r="GZ32" s="212">
        <f ca="1">IF($D32&lt;&gt;"Serviço",0,IF(OR(AND(AUTOEVENTO="Manual",$M32=1),$M32&gt;(ROW(PLE.lastrow)-ROW(PLE.firstrow))),0,IF(OFFSET(PLE!$G$14,$M32,GZ$13)="",10^12,OFFSET(PLE!$G$14,$M32,GZ$13))))</f>
        <v>1000000000000</v>
      </c>
      <c r="HA32" s="212">
        <f ca="1">IF($D32&lt;&gt;"Serviço",0,IF(OR(AND(AUTOEVENTO="Manual",$M32=1),$M32&gt;(ROW(PLE.lastrow)-ROW(PLE.firstrow))),0,IF(OFFSET(PLE!$G$14,$M32,HA$13)="",10^12,OFFSET(PLE!$G$14,$M32,HA$13))))</f>
        <v>1000000000000</v>
      </c>
      <c r="HB32" s="212">
        <f ca="1">IF($D32&lt;&gt;"Serviço",0,IF(OR(AND(AUTOEVENTO="Manual",$M32=1),$M32&gt;(ROW(PLE.lastrow)-ROW(PLE.firstrow))),0,IF(OFFSET(PLE!$G$14,$M32,HB$13)="",10^12,OFFSET(PLE!$G$14,$M32,HB$13))))</f>
        <v>1000000000000</v>
      </c>
      <c r="HC32" s="212">
        <f ca="1">IF($D32&lt;&gt;"Serviço",0,IF(OR(AND(AUTOEVENTO="Manual",$M32=1),$M32&gt;(ROW(PLE.lastrow)-ROW(PLE.firstrow))),0,IF(OFFSET(PLE!$G$14,$M32,HC$13)="",10^12,OFFSET(PLE!$G$14,$M32,HC$13))))</f>
        <v>1000000000000</v>
      </c>
      <c r="HD32" s="212">
        <f ca="1">IF($D32&lt;&gt;"Serviço",0,IF(OR(AND(AUTOEVENTO="Manual",$M32=1),$M32&gt;(ROW(PLE.lastrow)-ROW(PLE.firstrow))),0,IF(OFFSET(PLE!$G$14,$M32,HD$13)="",10^12,OFFSET(PLE!$G$14,$M32,HD$13))))</f>
        <v>1000000000000</v>
      </c>
      <c r="HE32" s="212">
        <f ca="1">IF($D32&lt;&gt;"Serviço",0,IF(OR(AND(AUTOEVENTO="Manual",$M32=1),$M32&gt;(ROW(PLE.lastrow)-ROW(PLE.firstrow))),0,IF(OFFSET(PLE!$G$14,$M32,HE$13)="",10^12,OFFSET(PLE!$G$14,$M32,HE$13))))</f>
        <v>1000000000000</v>
      </c>
      <c r="HF32" s="212">
        <f ca="1">IF($D32&lt;&gt;"Serviço",0,IF(OR(AND(AUTOEVENTO="Manual",$M32=1),$M32&gt;(ROW(PLE.lastrow)-ROW(PLE.firstrow))),0,IF(OFFSET(PLE!$G$14,$M32,HF$13)="",10^12,OFFSET(PLE!$G$14,$M32,HF$13))))</f>
        <v>1000000000000</v>
      </c>
      <c r="HG32" s="212">
        <f ca="1">IF($D32&lt;&gt;"Serviço",0,IF(OR(AND(AUTOEVENTO="Manual",$M32=1),$M32&gt;(ROW(PLE.lastrow)-ROW(PLE.firstrow))),0,IF(OFFSET(PLE!$G$14,$M32,HG$13)="",10^12,OFFSET(PLE!$G$14,$M32,HG$13))))</f>
        <v>1000000000000</v>
      </c>
      <c r="HH32" s="212">
        <f ca="1">IF($D32&lt;&gt;"Serviço",0,IF(OR(AND(AUTOEVENTO="Manual",$M32=1),$M32&gt;(ROW(PLE.lastrow)-ROW(PLE.firstrow))),0,IF(OFFSET(PLE!$G$14,$M32,HH$13)="",10^12,OFFSET(PLE!$G$14,$M32,HH$13))))</f>
        <v>1000000000000</v>
      </c>
      <c r="HI32" s="212">
        <f ca="1">IF($D32&lt;&gt;"Serviço",0,IF(OR(AND(AUTOEVENTO="Manual",$M32=1),$M32&gt;(ROW(PLE.lastrow)-ROW(PLE.firstrow))),0,IF(OFFSET(PLE!$G$14,$M32,HI$13)="",10^12,OFFSET(PLE!$G$14,$M32,HI$13))))</f>
        <v>1000000000000</v>
      </c>
      <c r="HJ32" s="212">
        <f ca="1">IF($D32&lt;&gt;"Serviço",0,IF(OR(AND(AUTOEVENTO="Manual",$M32=1),$M32&gt;(ROW(PLE.lastrow)-ROW(PLE.firstrow))),0,IF(OFFSET(PLE!$G$14,$M32,HJ$13)="",10^12,OFFSET(PLE!$G$14,$M32,HJ$13))))</f>
        <v>1000000000000</v>
      </c>
      <c r="HK32" s="212">
        <f ca="1">IF($D32&lt;&gt;"Serviço",0,IF(OR(AND(AUTOEVENTO="Manual",$M32=1),$M32&gt;(ROW(PLE.lastrow)-ROW(PLE.firstrow))),0,IF(OFFSET(PLE!$G$14,$M32,HK$13)="",10^12,OFFSET(PLE!$G$14,$M32,HK$13))))</f>
        <v>1000000000000</v>
      </c>
    </row>
    <row r="33" spans="2:219" ht="5.0999999999999996" customHeight="1" x14ac:dyDescent="0.2">
      <c r="B33" s="9">
        <f ca="1">OFFSET(ORÇAMENTO!C$15,ROW(B33)-ROW(B$15),0)</f>
        <v>-1</v>
      </c>
      <c r="C33" s="9" t="str">
        <f ca="1">OFFSET(ORÇAMENTO!L$15,ROW(C33)-ROW(C$15),0)</f>
        <v>F</v>
      </c>
      <c r="D33" s="558" t="s">
        <v>196</v>
      </c>
      <c r="E33" s="559"/>
      <c r="F33" s="560"/>
      <c r="G33" s="560"/>
      <c r="H33" s="560"/>
      <c r="I33" s="561"/>
      <c r="J33" s="172"/>
      <c r="K33" s="564"/>
      <c r="L33" s="557" t="s">
        <v>257</v>
      </c>
      <c r="M33" s="565"/>
      <c r="N33" s="562"/>
      <c r="O33" s="556"/>
      <c r="P33" s="172"/>
      <c r="Q33" s="563"/>
      <c r="R33" s="560"/>
      <c r="S33" s="560"/>
      <c r="T33" s="560"/>
      <c r="U33" s="560"/>
      <c r="V33" s="560"/>
      <c r="W33" s="560"/>
      <c r="X33" s="560"/>
      <c r="Y33" s="560"/>
      <c r="Z33" s="561"/>
      <c r="AA33" s="560"/>
      <c r="AB33" s="560"/>
      <c r="AC33" s="560"/>
      <c r="AD33" s="560"/>
      <c r="AE33" s="560"/>
      <c r="AF33" s="560"/>
      <c r="AG33" s="560"/>
      <c r="AH33" s="561"/>
      <c r="AI33" s="560"/>
      <c r="AJ33" s="560"/>
      <c r="AK33" s="560"/>
      <c r="AL33" s="560"/>
      <c r="AM33" s="560"/>
      <c r="AN33" s="560"/>
      <c r="AO33" s="560"/>
      <c r="AP33" s="561"/>
      <c r="AQ33" s="560"/>
      <c r="AR33" s="560"/>
      <c r="AS33" s="560"/>
      <c r="AT33" s="560"/>
      <c r="AU33" s="560"/>
      <c r="AV33" s="560"/>
      <c r="AW33" s="560"/>
      <c r="AX33" s="561"/>
      <c r="AY33" s="560"/>
      <c r="AZ33" s="560"/>
      <c r="BA33" s="560"/>
      <c r="BB33" s="560"/>
      <c r="BC33" s="560"/>
      <c r="BD33" s="560"/>
      <c r="BE33" s="560"/>
      <c r="BF33" s="561"/>
      <c r="BG33" s="560"/>
      <c r="BH33" s="560"/>
      <c r="BI33" s="560"/>
      <c r="BJ33" s="560"/>
      <c r="BK33" s="560"/>
      <c r="BL33" s="560"/>
      <c r="BM33" s="560"/>
      <c r="BN33" s="561"/>
      <c r="BO33" s="172"/>
      <c r="BP33" s="163"/>
      <c r="BQ33" s="222"/>
      <c r="BR33" s="222"/>
      <c r="BS33" s="222"/>
      <c r="BT33" s="222"/>
      <c r="BU33" s="222"/>
      <c r="BV33" s="222"/>
      <c r="BW33" s="222"/>
      <c r="BX33" s="222"/>
      <c r="BY33" s="164"/>
      <c r="BZ33" s="222"/>
      <c r="CA33" s="222"/>
      <c r="CB33" s="222"/>
      <c r="CC33" s="222"/>
      <c r="CD33" s="222"/>
      <c r="CE33" s="222"/>
      <c r="CF33" s="222"/>
      <c r="CG33" s="164"/>
      <c r="CH33" s="222"/>
      <c r="CI33" s="222"/>
      <c r="CJ33" s="222"/>
      <c r="CK33" s="222"/>
      <c r="CL33" s="222"/>
      <c r="CM33" s="222"/>
      <c r="CN33" s="222"/>
      <c r="CO33" s="164"/>
      <c r="CP33" s="222"/>
      <c r="CQ33" s="222"/>
      <c r="CR33" s="222"/>
      <c r="CS33" s="222"/>
      <c r="CT33" s="222"/>
      <c r="CU33" s="222"/>
      <c r="CV33" s="222"/>
      <c r="CW33" s="164"/>
      <c r="CX33" s="222"/>
      <c r="CY33" s="222"/>
      <c r="CZ33" s="222"/>
      <c r="DA33" s="222"/>
      <c r="DB33" s="222"/>
      <c r="DC33" s="222"/>
      <c r="DD33" s="222"/>
      <c r="DE33" s="164"/>
      <c r="DF33" s="222"/>
      <c r="DG33" s="222"/>
      <c r="DH33" s="222"/>
      <c r="DI33" s="222"/>
      <c r="DJ33" s="222"/>
      <c r="DK33" s="222"/>
      <c r="DL33" s="222"/>
      <c r="DM33" s="164"/>
      <c r="DO33" s="163"/>
      <c r="DP33" s="222"/>
      <c r="DQ33" s="222"/>
      <c r="DR33" s="222"/>
      <c r="DS33" s="222"/>
      <c r="DT33" s="222"/>
      <c r="DU33" s="222"/>
      <c r="DV33" s="222"/>
      <c r="DW33" s="222"/>
      <c r="DX33" s="164"/>
      <c r="DY33" s="222"/>
      <c r="DZ33" s="222"/>
      <c r="EA33" s="222"/>
      <c r="EB33" s="222"/>
      <c r="EC33" s="222"/>
      <c r="ED33" s="222"/>
      <c r="EE33" s="222"/>
      <c r="EF33" s="164"/>
      <c r="EG33" s="222"/>
      <c r="EH33" s="222"/>
      <c r="EI33" s="222"/>
      <c r="EJ33" s="222"/>
      <c r="EK33" s="222"/>
      <c r="EL33" s="222"/>
      <c r="EM33" s="222"/>
      <c r="EN33" s="164"/>
      <c r="EO33" s="222"/>
      <c r="EP33" s="222"/>
      <c r="EQ33" s="222"/>
      <c r="ER33" s="222"/>
      <c r="ES33" s="222"/>
      <c r="ET33" s="222"/>
      <c r="EU33" s="222"/>
      <c r="EV33" s="164"/>
      <c r="EW33" s="222"/>
      <c r="EX33" s="222"/>
      <c r="EY33" s="222"/>
      <c r="EZ33" s="222"/>
      <c r="FA33" s="222"/>
      <c r="FB33" s="222"/>
      <c r="FC33" s="222"/>
      <c r="FD33" s="164"/>
      <c r="FE33" s="222"/>
      <c r="FF33" s="222"/>
      <c r="FG33" s="222"/>
      <c r="FH33" s="222"/>
      <c r="FI33" s="222"/>
      <c r="FJ33" s="222"/>
      <c r="FK33" s="222"/>
      <c r="FL33" s="164"/>
      <c r="FN33" s="163"/>
      <c r="FO33" s="222"/>
      <c r="FP33" s="222"/>
      <c r="FQ33" s="222"/>
      <c r="FR33" s="222"/>
      <c r="FS33" s="222"/>
      <c r="FT33" s="222"/>
      <c r="FU33" s="222"/>
      <c r="FV33" s="222"/>
      <c r="FW33" s="164"/>
      <c r="FX33" s="222"/>
      <c r="FY33" s="222"/>
      <c r="FZ33" s="222"/>
      <c r="GA33" s="222"/>
      <c r="GB33" s="222"/>
      <c r="GC33" s="222"/>
      <c r="GD33" s="222"/>
      <c r="GE33" s="164"/>
      <c r="GF33" s="222"/>
      <c r="GG33" s="222"/>
      <c r="GH33" s="222"/>
      <c r="GI33" s="222"/>
      <c r="GJ33" s="222"/>
      <c r="GK33" s="222"/>
      <c r="GL33" s="222"/>
      <c r="GM33" s="164"/>
      <c r="GN33" s="222"/>
      <c r="GO33" s="222"/>
      <c r="GP33" s="222"/>
      <c r="GQ33" s="222"/>
      <c r="GR33" s="222"/>
      <c r="GS33" s="222"/>
      <c r="GT33" s="222"/>
      <c r="GU33" s="164"/>
      <c r="GV33" s="222"/>
      <c r="GW33" s="222"/>
      <c r="GX33" s="222"/>
      <c r="GY33" s="222"/>
      <c r="GZ33" s="222"/>
      <c r="HA33" s="222"/>
      <c r="HB33" s="222"/>
      <c r="HC33" s="164"/>
      <c r="HD33" s="222"/>
      <c r="HE33" s="222"/>
      <c r="HF33" s="222"/>
      <c r="HG33" s="222"/>
      <c r="HH33" s="222"/>
      <c r="HI33" s="222"/>
      <c r="HJ33" s="222"/>
      <c r="HK33" s="164"/>
    </row>
    <row r="34" spans="2:219" ht="12.75" customHeight="1" x14ac:dyDescent="0.2"/>
    <row r="35" spans="2:219" ht="12.75" customHeight="1" x14ac:dyDescent="0.2"/>
    <row r="36" spans="2:219" ht="12.75" customHeight="1" x14ac:dyDescent="0.2"/>
    <row r="37" spans="2:219" ht="15" customHeight="1" x14ac:dyDescent="0.2">
      <c r="F37" s="223" t="str">
        <f>Import.Município</f>
        <v>CONCEIÇÃO DOS OUROS/MG</v>
      </c>
      <c r="I37" s="636"/>
      <c r="J37" s="636"/>
      <c r="K37" s="636"/>
      <c r="L37" s="636"/>
      <c r="M37" s="637"/>
      <c r="N37" s="553"/>
      <c r="T37" s="171"/>
      <c r="U37" s="171"/>
      <c r="V37" s="224"/>
      <c r="W37" s="224"/>
      <c r="X37" s="224"/>
      <c r="Y37" s="224"/>
      <c r="AB37" s="171"/>
      <c r="AC37" s="171"/>
      <c r="AD37" s="224"/>
      <c r="AE37" s="224"/>
      <c r="AF37" s="224"/>
      <c r="AG37" s="224"/>
      <c r="AJ37" s="171"/>
      <c r="AK37" s="171"/>
      <c r="AL37" s="224"/>
      <c r="AM37" s="224"/>
      <c r="AN37" s="224"/>
      <c r="AO37" s="224"/>
      <c r="AR37" s="171"/>
      <c r="AS37" s="171"/>
      <c r="AT37" s="224"/>
      <c r="AU37" s="224"/>
      <c r="AV37" s="224"/>
      <c r="AW37" s="224"/>
      <c r="AZ37" s="171"/>
      <c r="BA37" s="171"/>
      <c r="BB37" s="224"/>
      <c r="BC37" s="224"/>
      <c r="BD37" s="224"/>
      <c r="BE37" s="224"/>
      <c r="BH37" s="171"/>
      <c r="BI37" s="171"/>
      <c r="BJ37" s="224"/>
      <c r="BK37" s="224"/>
      <c r="BL37" s="224"/>
      <c r="BM37" s="224"/>
    </row>
    <row r="38" spans="2:219" ht="12.75" customHeight="1" x14ac:dyDescent="0.2">
      <c r="F38" s="12" t="s">
        <v>190</v>
      </c>
      <c r="I38" s="225" t="s">
        <v>192</v>
      </c>
      <c r="J38" s="225"/>
      <c r="K38" s="225"/>
      <c r="L38" s="225"/>
      <c r="T38" s="225" t="s">
        <v>192</v>
      </c>
      <c r="U38" s="225"/>
      <c r="AB38" s="225" t="s">
        <v>192</v>
      </c>
      <c r="AC38" s="225"/>
      <c r="AJ38" s="225" t="s">
        <v>192</v>
      </c>
      <c r="AK38" s="225"/>
      <c r="AR38" s="225" t="s">
        <v>192</v>
      </c>
      <c r="AS38" s="225"/>
      <c r="AZ38" s="225" t="s">
        <v>192</v>
      </c>
      <c r="BA38" s="225"/>
      <c r="BH38" s="225" t="s">
        <v>192</v>
      </c>
      <c r="BI38" s="225"/>
    </row>
    <row r="39" spans="2:219" ht="12.75" customHeight="1" x14ac:dyDescent="0.2">
      <c r="F39" s="100"/>
      <c r="I39" s="638" t="str">
        <f t="array" aca="1" ref="I39:I41" ca="1">OFFSET(Import.RespOrçamento,0,-1) &amp; " " &amp; Import.RespOrçamento</f>
        <v>Nome: JOSÉ AIRTON JUNHO DOS REIS</v>
      </c>
      <c r="K39" s="92"/>
      <c r="L39" s="92"/>
      <c r="T39" s="638" t="str">
        <f t="array" aca="1" ref="T39:T41" ca="1">OFFSET(Import.RespOrçamento,0,-1) &amp; " " &amp; Import.RespOrçamento</f>
        <v>Nome: JOSÉ AIRTON JUNHO DOS REIS</v>
      </c>
      <c r="U39" s="91"/>
      <c r="AB39" s="638" t="str">
        <f t="array" aca="1" ref="AB39:AB41" ca="1">OFFSET(Import.RespOrçamento,0,-1) &amp; " " &amp; Import.RespOrçamento</f>
        <v>Nome: JOSÉ AIRTON JUNHO DOS REIS</v>
      </c>
      <c r="AC39" s="91"/>
      <c r="AJ39" s="638" t="str">
        <f t="array" aca="1" ref="AJ39:AJ41" ca="1">OFFSET(Import.RespOrçamento,0,-1) &amp; " " &amp; Import.RespOrçamento</f>
        <v>Nome: JOSÉ AIRTON JUNHO DOS REIS</v>
      </c>
      <c r="AK39" s="91"/>
      <c r="AR39" s="638" t="str">
        <f t="array" aca="1" ref="AR39:AR41" ca="1">OFFSET(Import.RespOrçamento,0,-1) &amp; " " &amp; Import.RespOrçamento</f>
        <v>Nome: JOSÉ AIRTON JUNHO DOS REIS</v>
      </c>
      <c r="AS39" s="91"/>
      <c r="AZ39" s="638" t="str">
        <f t="array" aca="1" ref="AZ39:AZ41" ca="1">OFFSET(Import.RespOrçamento,0,-1) &amp; " " &amp; Import.RespOrçamento</f>
        <v>Nome: JOSÉ AIRTON JUNHO DOS REIS</v>
      </c>
      <c r="BA39" s="91"/>
      <c r="BH39" s="638" t="str">
        <f t="array" aca="1" ref="BH39:BH41" ca="1">OFFSET(Import.RespOrçamento,0,-1) &amp; " " &amp; Import.RespOrçamento</f>
        <v>Nome: JOSÉ AIRTON JUNHO DOS REIS</v>
      </c>
      <c r="BI39" s="91"/>
    </row>
    <row r="40" spans="2:219" ht="12.75" customHeight="1" x14ac:dyDescent="0.2">
      <c r="F40" s="635">
        <f>DADOS!$F$25</f>
        <v>45391</v>
      </c>
      <c r="I40" s="638" t="str">
        <f ca="1"/>
        <v>CREA/CAU: 56.250/D</v>
      </c>
      <c r="K40" s="92"/>
      <c r="L40" s="92"/>
      <c r="T40" s="638" t="str">
        <f ca="1"/>
        <v>CREA/CAU: 56.250/D</v>
      </c>
      <c r="U40" s="91"/>
      <c r="AB40" s="638" t="str">
        <f ca="1"/>
        <v>CREA/CAU: 56.250/D</v>
      </c>
      <c r="AC40" s="91"/>
      <c r="AJ40" s="638" t="str">
        <f ca="1"/>
        <v>CREA/CAU: 56.250/D</v>
      </c>
      <c r="AK40" s="91"/>
      <c r="AR40" s="638" t="str">
        <f ca="1"/>
        <v>CREA/CAU: 56.250/D</v>
      </c>
      <c r="AS40" s="91"/>
      <c r="AZ40" s="638" t="str">
        <f ca="1"/>
        <v>CREA/CAU: 56.250/D</v>
      </c>
      <c r="BA40" s="91"/>
      <c r="BH40" s="638" t="str">
        <f ca="1"/>
        <v>CREA/CAU: 56.250/D</v>
      </c>
      <c r="BI40" s="91"/>
    </row>
    <row r="41" spans="2:219" ht="12.75" customHeight="1" x14ac:dyDescent="0.2">
      <c r="F41" s="173" t="s">
        <v>191</v>
      </c>
      <c r="I41" s="638" t="str">
        <f ca="1"/>
        <v>ART/RRT: MG20242788680</v>
      </c>
      <c r="K41" s="92"/>
      <c r="L41" s="92"/>
      <c r="T41" s="638" t="str">
        <f ca="1"/>
        <v>ART/RRT: MG20242788680</v>
      </c>
      <c r="U41" s="91"/>
      <c r="AB41" s="638" t="str">
        <f ca="1"/>
        <v>ART/RRT: MG20242788680</v>
      </c>
      <c r="AC41" s="91"/>
      <c r="AJ41" s="638" t="str">
        <f ca="1"/>
        <v>ART/RRT: MG20242788680</v>
      </c>
      <c r="AK41" s="91"/>
      <c r="AR41" s="638" t="str">
        <f ca="1"/>
        <v>ART/RRT: MG20242788680</v>
      </c>
      <c r="AS41" s="91"/>
      <c r="AZ41" s="638" t="str">
        <f ca="1"/>
        <v>ART/RRT: MG20242788680</v>
      </c>
      <c r="BA41" s="91"/>
      <c r="BH41" s="638" t="str">
        <f ca="1"/>
        <v>ART/RRT: MG20242788680</v>
      </c>
      <c r="BI41" s="91"/>
    </row>
    <row r="42" spans="2:219" ht="12.75" customHeight="1" x14ac:dyDescent="0.2">
      <c r="C42"/>
      <c r="M42"/>
    </row>
    <row r="43" spans="2:219" ht="12.75" customHeight="1" x14ac:dyDescent="0.2">
      <c r="C43"/>
      <c r="M43"/>
    </row>
    <row r="44" spans="2:219" ht="12.75" customHeight="1" x14ac:dyDescent="0.2">
      <c r="C44"/>
      <c r="M44"/>
    </row>
    <row r="45" spans="2:219" ht="12.75" customHeight="1" x14ac:dyDescent="0.2">
      <c r="C45"/>
      <c r="M45"/>
    </row>
    <row r="46" spans="2:219" ht="12.75" customHeight="1" x14ac:dyDescent="0.2">
      <c r="C46"/>
      <c r="M46"/>
    </row>
    <row r="47" spans="2:219" ht="12.75" customHeight="1" x14ac:dyDescent="0.2">
      <c r="C47"/>
      <c r="M47"/>
    </row>
    <row r="48" spans="2:219" ht="12.75" customHeight="1" x14ac:dyDescent="0.2">
      <c r="C48"/>
      <c r="M48"/>
    </row>
    <row r="49" spans="3:13" ht="12.75" customHeight="1" x14ac:dyDescent="0.2">
      <c r="C49"/>
      <c r="M49"/>
    </row>
    <row r="50" spans="3:13" ht="12.75" customHeight="1" x14ac:dyDescent="0.2">
      <c r="C50"/>
      <c r="M50"/>
    </row>
    <row r="51" spans="3:13" ht="12.75" customHeight="1" x14ac:dyDescent="0.2">
      <c r="C51"/>
      <c r="M51"/>
    </row>
    <row r="52" spans="3:13" ht="12.75" customHeight="1" x14ac:dyDescent="0.2">
      <c r="C52"/>
      <c r="M52"/>
    </row>
    <row r="53" spans="3:13" ht="12.75" customHeight="1" x14ac:dyDescent="0.2">
      <c r="C53"/>
      <c r="M53"/>
    </row>
    <row r="54" spans="3:13" ht="12.75" customHeight="1" x14ac:dyDescent="0.2">
      <c r="C54"/>
      <c r="M54"/>
    </row>
    <row r="55" spans="3:13" ht="12.75" customHeight="1" x14ac:dyDescent="0.2">
      <c r="C55"/>
      <c r="M55"/>
    </row>
    <row r="56" spans="3:13" ht="12.75" customHeight="1" x14ac:dyDescent="0.2">
      <c r="C56"/>
      <c r="M56"/>
    </row>
    <row r="57" spans="3:13" ht="12.75" customHeight="1" x14ac:dyDescent="0.2">
      <c r="C57"/>
      <c r="M57"/>
    </row>
    <row r="58" spans="3:13" ht="12.75" customHeight="1" x14ac:dyDescent="0.2">
      <c r="C58"/>
      <c r="M58"/>
    </row>
    <row r="59" spans="3:13" ht="12.75" customHeight="1" x14ac:dyDescent="0.2">
      <c r="C59"/>
      <c r="M59"/>
    </row>
    <row r="60" spans="3:13" ht="12.75" customHeight="1" x14ac:dyDescent="0.2">
      <c r="C60"/>
      <c r="M60"/>
    </row>
    <row r="61" spans="3:13" ht="12.75" customHeight="1" x14ac:dyDescent="0.2">
      <c r="C61"/>
      <c r="M61"/>
    </row>
    <row r="62" spans="3:13" ht="12.75" customHeight="1" x14ac:dyDescent="0.2">
      <c r="C62"/>
      <c r="M62"/>
    </row>
    <row r="63" spans="3:13" ht="12.75" customHeight="1" x14ac:dyDescent="0.2">
      <c r="C63"/>
      <c r="M63"/>
    </row>
    <row r="64" spans="3:13" ht="12.75" customHeight="1" x14ac:dyDescent="0.2">
      <c r="C64"/>
      <c r="M64"/>
    </row>
    <row r="65" spans="3:13" ht="12.75" customHeight="1" x14ac:dyDescent="0.2">
      <c r="C65"/>
      <c r="M65"/>
    </row>
    <row r="66" spans="3:13" ht="12.75" customHeight="1" x14ac:dyDescent="0.2">
      <c r="C66"/>
      <c r="M66"/>
    </row>
    <row r="67" spans="3:13" ht="12.75" customHeight="1" x14ac:dyDescent="0.2">
      <c r="C67"/>
      <c r="M67"/>
    </row>
    <row r="68" spans="3:13" ht="12.75" customHeight="1" x14ac:dyDescent="0.2">
      <c r="C68"/>
      <c r="M68"/>
    </row>
    <row r="69" spans="3:13" ht="12.75" customHeight="1" x14ac:dyDescent="0.2">
      <c r="C69"/>
      <c r="M69"/>
    </row>
    <row r="70" spans="3:13" ht="12.75" customHeight="1" x14ac:dyDescent="0.2">
      <c r="C70"/>
      <c r="M70"/>
    </row>
    <row r="71" spans="3:13" ht="12.75" customHeight="1" x14ac:dyDescent="0.2">
      <c r="C71"/>
      <c r="M71"/>
    </row>
    <row r="72" spans="3:13" ht="12.75" customHeight="1" x14ac:dyDescent="0.2">
      <c r="C72"/>
      <c r="M72"/>
    </row>
    <row r="73" spans="3:13" ht="12.75" customHeight="1" x14ac:dyDescent="0.2">
      <c r="C73"/>
      <c r="M73"/>
    </row>
    <row r="74" spans="3:13" ht="12.75" customHeight="1" x14ac:dyDescent="0.2">
      <c r="C74"/>
      <c r="M74"/>
    </row>
    <row r="75" spans="3:13" ht="12.75" customHeight="1" x14ac:dyDescent="0.2">
      <c r="C75"/>
      <c r="M75"/>
    </row>
    <row r="76" spans="3:13" ht="12.75" customHeight="1" x14ac:dyDescent="0.2">
      <c r="C76"/>
      <c r="M76"/>
    </row>
    <row r="77" spans="3:13" ht="12.75" customHeight="1" x14ac:dyDescent="0.2">
      <c r="C77"/>
      <c r="M77"/>
    </row>
    <row r="78" spans="3:13" ht="12.75" customHeight="1" x14ac:dyDescent="0.2">
      <c r="C78"/>
      <c r="M78"/>
    </row>
    <row r="79" spans="3:13" ht="12.75" customHeight="1" x14ac:dyDescent="0.2">
      <c r="C79"/>
      <c r="M79"/>
    </row>
    <row r="80" spans="3:13" ht="12.75" customHeight="1" x14ac:dyDescent="0.2">
      <c r="C80"/>
      <c r="M80"/>
    </row>
    <row r="81" spans="3:13" ht="12.75" customHeight="1" x14ac:dyDescent="0.2">
      <c r="C81"/>
      <c r="M81"/>
    </row>
    <row r="82" spans="3:13" ht="12.75" customHeight="1" x14ac:dyDescent="0.2">
      <c r="C82"/>
      <c r="M82"/>
    </row>
    <row r="83" spans="3:13" ht="12.75" customHeight="1" x14ac:dyDescent="0.2">
      <c r="C83"/>
      <c r="M83"/>
    </row>
    <row r="84" spans="3:13" ht="12.75" customHeight="1" x14ac:dyDescent="0.2">
      <c r="C84"/>
      <c r="M84"/>
    </row>
    <row r="85" spans="3:13" ht="12.75" customHeight="1" x14ac:dyDescent="0.2">
      <c r="C85"/>
      <c r="M85"/>
    </row>
    <row r="86" spans="3:13" ht="12.75" customHeight="1" x14ac:dyDescent="0.2">
      <c r="C86"/>
      <c r="M86"/>
    </row>
    <row r="87" spans="3:13" ht="12.75" customHeight="1" x14ac:dyDescent="0.2">
      <c r="C87"/>
      <c r="M87"/>
    </row>
    <row r="88" spans="3:13" ht="12.75" customHeight="1" x14ac:dyDescent="0.2">
      <c r="C88"/>
      <c r="M88"/>
    </row>
    <row r="89" spans="3:13" ht="12.75" customHeight="1" x14ac:dyDescent="0.2">
      <c r="C89"/>
      <c r="M89"/>
    </row>
    <row r="90" spans="3:13" ht="12.75" customHeight="1" x14ac:dyDescent="0.2">
      <c r="C90"/>
      <c r="M90"/>
    </row>
    <row r="91" spans="3:13" ht="12.75" customHeight="1" x14ac:dyDescent="0.2">
      <c r="C91"/>
      <c r="M91"/>
    </row>
    <row r="92" spans="3:13" ht="12.75" customHeight="1" x14ac:dyDescent="0.2">
      <c r="C92"/>
      <c r="M92"/>
    </row>
    <row r="93" spans="3:13" ht="12.75" customHeight="1" x14ac:dyDescent="0.2">
      <c r="C93"/>
      <c r="M93"/>
    </row>
    <row r="94" spans="3:13" ht="12.75" customHeight="1" x14ac:dyDescent="0.2">
      <c r="C94"/>
      <c r="M94"/>
    </row>
    <row r="95" spans="3:13" ht="12.75" customHeight="1" x14ac:dyDescent="0.2">
      <c r="C95"/>
      <c r="M95"/>
    </row>
    <row r="96" spans="3:13" ht="12.75" customHeight="1" x14ac:dyDescent="0.2">
      <c r="C96"/>
      <c r="M96"/>
    </row>
    <row r="97" spans="3:13" ht="12.75" customHeight="1" x14ac:dyDescent="0.2">
      <c r="C97"/>
      <c r="M97"/>
    </row>
    <row r="98" spans="3:13" ht="12.75" customHeight="1" x14ac:dyDescent="0.2">
      <c r="C98"/>
      <c r="M98"/>
    </row>
    <row r="99" spans="3:13" ht="12.75" customHeight="1" x14ac:dyDescent="0.2">
      <c r="C99"/>
      <c r="M99"/>
    </row>
    <row r="100" spans="3:13" ht="12.75" customHeight="1" x14ac:dyDescent="0.2">
      <c r="C100"/>
      <c r="M100"/>
    </row>
    <row r="101" spans="3:13" ht="12.75" customHeight="1" x14ac:dyDescent="0.2">
      <c r="C101"/>
      <c r="M101"/>
    </row>
    <row r="102" spans="3:13" ht="12.75" customHeight="1" x14ac:dyDescent="0.2">
      <c r="C102"/>
      <c r="M102"/>
    </row>
    <row r="103" spans="3:13" ht="12.75" customHeight="1" x14ac:dyDescent="0.2">
      <c r="C103"/>
      <c r="M103"/>
    </row>
    <row r="104" spans="3:13" ht="12.75" customHeight="1" x14ac:dyDescent="0.2">
      <c r="C104"/>
      <c r="M104"/>
    </row>
    <row r="105" spans="3:13" ht="12.75" customHeight="1" x14ac:dyDescent="0.2">
      <c r="C105"/>
      <c r="M105"/>
    </row>
    <row r="106" spans="3:13" ht="12.75" customHeight="1" x14ac:dyDescent="0.2">
      <c r="C106"/>
      <c r="M106"/>
    </row>
    <row r="107" spans="3:13" ht="12.75" customHeight="1" x14ac:dyDescent="0.2">
      <c r="C107"/>
      <c r="M107"/>
    </row>
    <row r="108" spans="3:13" ht="12.75" customHeight="1" x14ac:dyDescent="0.2">
      <c r="C108"/>
      <c r="M108"/>
    </row>
    <row r="109" spans="3:13" ht="12.75" customHeight="1" x14ac:dyDescent="0.2">
      <c r="C109"/>
      <c r="M109"/>
    </row>
    <row r="110" spans="3:13" ht="12.75" customHeight="1" x14ac:dyDescent="0.2">
      <c r="C110"/>
      <c r="M110"/>
    </row>
    <row r="111" spans="3:13" ht="12.75" customHeight="1" x14ac:dyDescent="0.2">
      <c r="C111"/>
      <c r="M111"/>
    </row>
    <row r="112" spans="3:13" ht="12.75" customHeight="1" x14ac:dyDescent="0.2">
      <c r="C112"/>
      <c r="M112"/>
    </row>
    <row r="113" spans="3:13" ht="12.75" customHeight="1" x14ac:dyDescent="0.2">
      <c r="C113"/>
      <c r="M113"/>
    </row>
    <row r="114" spans="3:13" ht="12.75" customHeight="1" x14ac:dyDescent="0.2">
      <c r="C114"/>
      <c r="M114"/>
    </row>
    <row r="115" spans="3:13" ht="12.75" customHeight="1" x14ac:dyDescent="0.2">
      <c r="C115"/>
      <c r="M115"/>
    </row>
    <row r="116" spans="3:13" ht="12.75" customHeight="1" x14ac:dyDescent="0.2">
      <c r="C116"/>
      <c r="M116"/>
    </row>
    <row r="117" spans="3:13" ht="12.75" customHeight="1" x14ac:dyDescent="0.2">
      <c r="C117"/>
      <c r="M117"/>
    </row>
    <row r="118" spans="3:13" ht="12.75" customHeight="1" x14ac:dyDescent="0.2">
      <c r="C118"/>
      <c r="M118"/>
    </row>
    <row r="119" spans="3:13" ht="12.75" customHeight="1" x14ac:dyDescent="0.2">
      <c r="C119"/>
      <c r="M119"/>
    </row>
    <row r="120" spans="3:13" ht="12.75" customHeight="1" x14ac:dyDescent="0.2">
      <c r="C120"/>
      <c r="M120"/>
    </row>
    <row r="121" spans="3:13" ht="12.75" customHeight="1" x14ac:dyDescent="0.2">
      <c r="C121"/>
      <c r="M121"/>
    </row>
    <row r="122" spans="3:13" ht="12.75" customHeight="1" x14ac:dyDescent="0.2">
      <c r="C122"/>
      <c r="M122"/>
    </row>
    <row r="123" spans="3:13" ht="12.75" customHeight="1" x14ac:dyDescent="0.2">
      <c r="C123"/>
      <c r="M123"/>
    </row>
    <row r="124" spans="3:13" ht="12.75" customHeight="1" x14ac:dyDescent="0.2">
      <c r="C124"/>
      <c r="M124"/>
    </row>
    <row r="125" spans="3:13" ht="12.75" customHeight="1" x14ac:dyDescent="0.2">
      <c r="C125"/>
      <c r="M125"/>
    </row>
    <row r="126" spans="3:13" ht="12.75" customHeight="1" x14ac:dyDescent="0.2">
      <c r="C126"/>
      <c r="M126"/>
    </row>
    <row r="127" spans="3:13" ht="12.75" customHeight="1" x14ac:dyDescent="0.2">
      <c r="C127"/>
      <c r="M127"/>
    </row>
    <row r="128" spans="3:13" ht="12.75" customHeight="1" x14ac:dyDescent="0.2">
      <c r="C128"/>
      <c r="M128"/>
    </row>
    <row r="129" spans="3:13" ht="12.75" customHeight="1" x14ac:dyDescent="0.2">
      <c r="C129"/>
      <c r="M129"/>
    </row>
    <row r="130" spans="3:13" ht="12.75" customHeight="1" x14ac:dyDescent="0.2">
      <c r="C130"/>
      <c r="M130"/>
    </row>
    <row r="131" spans="3:13" ht="12.75" customHeight="1" x14ac:dyDescent="0.2">
      <c r="C131"/>
      <c r="M131"/>
    </row>
    <row r="132" spans="3:13" ht="12.75" customHeight="1" x14ac:dyDescent="0.2">
      <c r="C132"/>
      <c r="M132"/>
    </row>
    <row r="133" spans="3:13" ht="12.75" customHeight="1" x14ac:dyDescent="0.2">
      <c r="C133"/>
      <c r="M133"/>
    </row>
    <row r="134" spans="3:13" ht="12.75" customHeight="1" x14ac:dyDescent="0.2">
      <c r="C134"/>
      <c r="M134"/>
    </row>
    <row r="135" spans="3:13" ht="12.75" customHeight="1" x14ac:dyDescent="0.2">
      <c r="C135"/>
      <c r="M135"/>
    </row>
    <row r="136" spans="3:13" ht="12.75" customHeight="1" x14ac:dyDescent="0.2">
      <c r="C136"/>
      <c r="M136"/>
    </row>
    <row r="137" spans="3:13" ht="12.75" customHeight="1" x14ac:dyDescent="0.2">
      <c r="C137"/>
      <c r="M137"/>
    </row>
    <row r="138" spans="3:13" ht="12.75" customHeight="1" x14ac:dyDescent="0.2">
      <c r="C138"/>
      <c r="M138"/>
    </row>
    <row r="139" spans="3:13" ht="12.75" customHeight="1" x14ac:dyDescent="0.2">
      <c r="C139"/>
      <c r="M139"/>
    </row>
    <row r="140" spans="3:13" ht="12.75" customHeight="1" x14ac:dyDescent="0.2">
      <c r="C140"/>
      <c r="M140"/>
    </row>
    <row r="141" spans="3:13" ht="12.75" customHeight="1" x14ac:dyDescent="0.2">
      <c r="C141"/>
      <c r="M141"/>
    </row>
    <row r="142" spans="3:13" ht="12.75" customHeight="1" x14ac:dyDescent="0.2">
      <c r="C142"/>
      <c r="M142"/>
    </row>
    <row r="143" spans="3:13" ht="12.75" customHeight="1" x14ac:dyDescent="0.2">
      <c r="C143"/>
      <c r="M143"/>
    </row>
    <row r="144" spans="3:13" ht="12.75" customHeight="1" x14ac:dyDescent="0.2">
      <c r="C144"/>
      <c r="M144"/>
    </row>
    <row r="145" spans="3:13" ht="12.75" customHeight="1" x14ac:dyDescent="0.2">
      <c r="C145"/>
      <c r="M145"/>
    </row>
    <row r="146" spans="3:13" ht="12.75" customHeight="1" x14ac:dyDescent="0.2">
      <c r="C146"/>
      <c r="M146"/>
    </row>
    <row r="147" spans="3:13" ht="12.75" customHeight="1" x14ac:dyDescent="0.2">
      <c r="C147"/>
      <c r="M147"/>
    </row>
    <row r="148" spans="3:13" ht="12.75" customHeight="1" x14ac:dyDescent="0.2">
      <c r="C148"/>
      <c r="M148"/>
    </row>
    <row r="149" spans="3:13" ht="12.75" customHeight="1" x14ac:dyDescent="0.2">
      <c r="C149"/>
      <c r="M149"/>
    </row>
    <row r="150" spans="3:13" ht="12.75" customHeight="1" x14ac:dyDescent="0.2">
      <c r="C150"/>
      <c r="M150"/>
    </row>
    <row r="151" spans="3:13" ht="12.75" customHeight="1" x14ac:dyDescent="0.2">
      <c r="C151"/>
      <c r="M151"/>
    </row>
    <row r="152" spans="3:13" ht="12.75" customHeight="1" x14ac:dyDescent="0.2">
      <c r="C152"/>
      <c r="M152"/>
    </row>
    <row r="153" spans="3:13" ht="12.75" customHeight="1" x14ac:dyDescent="0.2">
      <c r="C153"/>
      <c r="M153"/>
    </row>
    <row r="154" spans="3:13" ht="12.75" customHeight="1" x14ac:dyDescent="0.2">
      <c r="C154"/>
      <c r="M154"/>
    </row>
    <row r="155" spans="3:13" ht="12.75" customHeight="1" x14ac:dyDescent="0.2">
      <c r="C155"/>
      <c r="M155"/>
    </row>
    <row r="156" spans="3:13" ht="12.75" customHeight="1" x14ac:dyDescent="0.2">
      <c r="C156"/>
      <c r="M156"/>
    </row>
    <row r="157" spans="3:13" ht="12.75" customHeight="1" x14ac:dyDescent="0.2">
      <c r="C157"/>
      <c r="M157"/>
    </row>
    <row r="158" spans="3:13" ht="12.75" customHeight="1" x14ac:dyDescent="0.2">
      <c r="C158"/>
      <c r="M158"/>
    </row>
    <row r="159" spans="3:13" ht="12.75" customHeight="1" x14ac:dyDescent="0.2">
      <c r="C159"/>
      <c r="M159"/>
    </row>
    <row r="160" spans="3:13" ht="12.75" customHeight="1" x14ac:dyDescent="0.2">
      <c r="C160"/>
      <c r="M160"/>
    </row>
    <row r="161" spans="3:13" ht="12.75" customHeight="1" x14ac:dyDescent="0.2">
      <c r="C161"/>
      <c r="M161"/>
    </row>
    <row r="162" spans="3:13" ht="12.75" customHeight="1" x14ac:dyDescent="0.2">
      <c r="C162"/>
      <c r="M162"/>
    </row>
    <row r="163" spans="3:13" ht="12.75" customHeight="1" x14ac:dyDescent="0.2">
      <c r="C163"/>
      <c r="M163"/>
    </row>
    <row r="164" spans="3:13" ht="12.75" customHeight="1" x14ac:dyDescent="0.2">
      <c r="C164"/>
      <c r="M164"/>
    </row>
    <row r="165" spans="3:13" ht="12.75" customHeight="1" x14ac:dyDescent="0.2">
      <c r="C165"/>
      <c r="M165"/>
    </row>
    <row r="166" spans="3:13" ht="12.75" customHeight="1" x14ac:dyDescent="0.2">
      <c r="C166"/>
      <c r="M166"/>
    </row>
    <row r="167" spans="3:13" ht="12.75" customHeight="1" x14ac:dyDescent="0.2">
      <c r="C167"/>
      <c r="M167"/>
    </row>
    <row r="168" spans="3:13" ht="12.75" customHeight="1" x14ac:dyDescent="0.2">
      <c r="C168"/>
      <c r="M168"/>
    </row>
    <row r="169" spans="3:13" ht="12.75" customHeight="1" x14ac:dyDescent="0.2">
      <c r="C169"/>
      <c r="M169"/>
    </row>
    <row r="170" spans="3:13" ht="12.75" customHeight="1" x14ac:dyDescent="0.2">
      <c r="C170"/>
      <c r="M170"/>
    </row>
    <row r="171" spans="3:13" ht="12.75" customHeight="1" x14ac:dyDescent="0.2">
      <c r="C171"/>
      <c r="M171"/>
    </row>
    <row r="172" spans="3:13" ht="12.75" customHeight="1" x14ac:dyDescent="0.2">
      <c r="C172"/>
      <c r="M172"/>
    </row>
    <row r="173" spans="3:13" ht="12.75" customHeight="1" x14ac:dyDescent="0.2">
      <c r="C173"/>
      <c r="M173"/>
    </row>
    <row r="174" spans="3:13" ht="12.75" customHeight="1" x14ac:dyDescent="0.2">
      <c r="C174"/>
      <c r="M174"/>
    </row>
    <row r="175" spans="3:13" ht="12.75" customHeight="1" x14ac:dyDescent="0.2">
      <c r="C175"/>
      <c r="M175"/>
    </row>
    <row r="176" spans="3:13" ht="12.75" customHeight="1" x14ac:dyDescent="0.2">
      <c r="C176"/>
      <c r="M176"/>
    </row>
    <row r="177" spans="3:13" ht="12.75" customHeight="1" x14ac:dyDescent="0.2">
      <c r="C177"/>
      <c r="M177"/>
    </row>
    <row r="178" spans="3:13" ht="12.75" customHeight="1" x14ac:dyDescent="0.2">
      <c r="C178"/>
      <c r="M178"/>
    </row>
    <row r="179" spans="3:13" ht="12.75" customHeight="1" x14ac:dyDescent="0.2">
      <c r="C179"/>
      <c r="M179"/>
    </row>
    <row r="180" spans="3:13" ht="12.75" customHeight="1" x14ac:dyDescent="0.2">
      <c r="C180"/>
      <c r="M180"/>
    </row>
    <row r="181" spans="3:13" ht="12.75" customHeight="1" x14ac:dyDescent="0.2">
      <c r="C181"/>
      <c r="M181"/>
    </row>
    <row r="182" spans="3:13" ht="12.75" customHeight="1" x14ac:dyDescent="0.2">
      <c r="C182"/>
      <c r="M182"/>
    </row>
    <row r="183" spans="3:13" ht="12.75" customHeight="1" x14ac:dyDescent="0.2">
      <c r="C183"/>
      <c r="M183"/>
    </row>
    <row r="184" spans="3:13" ht="12.75" customHeight="1" x14ac:dyDescent="0.2">
      <c r="C184"/>
      <c r="M184"/>
    </row>
    <row r="185" spans="3:13" ht="12.75" customHeight="1" x14ac:dyDescent="0.2">
      <c r="C185"/>
      <c r="M185"/>
    </row>
    <row r="186" spans="3:13" ht="12.75" customHeight="1" x14ac:dyDescent="0.2">
      <c r="C186"/>
      <c r="M186"/>
    </row>
    <row r="187" spans="3:13" ht="12.75" customHeight="1" x14ac:dyDescent="0.2">
      <c r="C187"/>
      <c r="M187"/>
    </row>
    <row r="188" spans="3:13" ht="12.75" customHeight="1" x14ac:dyDescent="0.2">
      <c r="C188"/>
      <c r="M188"/>
    </row>
    <row r="189" spans="3:13" ht="12.75" customHeight="1" x14ac:dyDescent="0.2">
      <c r="C189"/>
      <c r="M189"/>
    </row>
    <row r="190" spans="3:13" ht="12.75" customHeight="1" x14ac:dyDescent="0.2">
      <c r="C190"/>
      <c r="M190"/>
    </row>
    <row r="191" spans="3:13" ht="12.75" customHeight="1" x14ac:dyDescent="0.2">
      <c r="C191"/>
      <c r="M191"/>
    </row>
    <row r="192" spans="3:13" ht="12.75" customHeight="1" x14ac:dyDescent="0.2">
      <c r="C192"/>
      <c r="M192"/>
    </row>
    <row r="193" spans="3:13" ht="12.75" customHeight="1" x14ac:dyDescent="0.2">
      <c r="C193"/>
      <c r="M193"/>
    </row>
    <row r="194" spans="3:13" ht="12.75" customHeight="1" x14ac:dyDescent="0.2">
      <c r="C194"/>
      <c r="M194"/>
    </row>
    <row r="195" spans="3:13" ht="12.75" customHeight="1" x14ac:dyDescent="0.2">
      <c r="C195"/>
      <c r="M195"/>
    </row>
    <row r="196" spans="3:13" ht="12.75" customHeight="1" x14ac:dyDescent="0.2">
      <c r="C196"/>
      <c r="M196"/>
    </row>
    <row r="197" spans="3:13" ht="12.75" customHeight="1" x14ac:dyDescent="0.2">
      <c r="C197"/>
      <c r="M197"/>
    </row>
    <row r="198" spans="3:13" ht="12.75" customHeight="1" x14ac:dyDescent="0.2">
      <c r="C198"/>
      <c r="M198"/>
    </row>
    <row r="199" spans="3:13" ht="12.75" customHeight="1" x14ac:dyDescent="0.2">
      <c r="C199"/>
      <c r="M199"/>
    </row>
    <row r="200" spans="3:13" ht="12.75" customHeight="1" x14ac:dyDescent="0.2">
      <c r="C200"/>
      <c r="M200"/>
    </row>
    <row r="201" spans="3:13" ht="12.75" customHeight="1" x14ac:dyDescent="0.2">
      <c r="C201"/>
      <c r="M201"/>
    </row>
    <row r="202" spans="3:13" ht="12.75" customHeight="1" x14ac:dyDescent="0.2">
      <c r="C202"/>
      <c r="M202"/>
    </row>
    <row r="203" spans="3:13" ht="12.75" customHeight="1" x14ac:dyDescent="0.2">
      <c r="C203"/>
      <c r="M203"/>
    </row>
    <row r="204" spans="3:13" ht="12.75" customHeight="1" x14ac:dyDescent="0.2">
      <c r="C204"/>
      <c r="M204"/>
    </row>
    <row r="205" spans="3:13" ht="12.75" customHeight="1" x14ac:dyDescent="0.2">
      <c r="C205"/>
      <c r="M205"/>
    </row>
    <row r="206" spans="3:13" ht="12.75" customHeight="1" x14ac:dyDescent="0.2">
      <c r="C206"/>
      <c r="M206"/>
    </row>
    <row r="207" spans="3:13" ht="12.75" customHeight="1" x14ac:dyDescent="0.2">
      <c r="C207"/>
      <c r="M207"/>
    </row>
    <row r="208" spans="3:13" ht="12.75" customHeight="1" x14ac:dyDescent="0.2">
      <c r="C208"/>
      <c r="M208"/>
    </row>
    <row r="209" spans="3:13" ht="12.75" customHeight="1" x14ac:dyDescent="0.2">
      <c r="C209"/>
      <c r="M209"/>
    </row>
    <row r="210" spans="3:13" ht="12.75" customHeight="1" x14ac:dyDescent="0.2">
      <c r="C210"/>
      <c r="M210"/>
    </row>
    <row r="211" spans="3:13" ht="12.75" customHeight="1" x14ac:dyDescent="0.2">
      <c r="C211"/>
      <c r="M211"/>
    </row>
    <row r="212" spans="3:13" ht="12.75" customHeight="1" x14ac:dyDescent="0.2">
      <c r="C212"/>
      <c r="M212"/>
    </row>
    <row r="213" spans="3:13" ht="12.75" customHeight="1" x14ac:dyDescent="0.2">
      <c r="C213"/>
      <c r="M213"/>
    </row>
    <row r="214" spans="3:13" ht="12.75" customHeight="1" x14ac:dyDescent="0.2">
      <c r="C214"/>
      <c r="M214"/>
    </row>
    <row r="215" spans="3:13" ht="12.75" customHeight="1" x14ac:dyDescent="0.2">
      <c r="C215"/>
      <c r="M215"/>
    </row>
    <row r="216" spans="3:13" ht="12.75" customHeight="1" x14ac:dyDescent="0.2">
      <c r="C216"/>
      <c r="M216"/>
    </row>
    <row r="217" spans="3:13" ht="12.75" customHeight="1" x14ac:dyDescent="0.2">
      <c r="C217"/>
      <c r="M217"/>
    </row>
    <row r="218" spans="3:13" ht="12.75" customHeight="1" x14ac:dyDescent="0.2">
      <c r="C218"/>
      <c r="M218"/>
    </row>
    <row r="219" spans="3:13" ht="12.75" customHeight="1" x14ac:dyDescent="0.2">
      <c r="C219"/>
      <c r="M219"/>
    </row>
    <row r="220" spans="3:13" ht="12.75" customHeight="1" x14ac:dyDescent="0.2">
      <c r="C220"/>
      <c r="M220"/>
    </row>
    <row r="221" spans="3:13" ht="12.75" customHeight="1" x14ac:dyDescent="0.2">
      <c r="C221"/>
      <c r="M221"/>
    </row>
    <row r="222" spans="3:13" ht="12.75" customHeight="1" x14ac:dyDescent="0.2">
      <c r="C222"/>
      <c r="M222"/>
    </row>
    <row r="223" spans="3:13" ht="12.75" customHeight="1" x14ac:dyDescent="0.2">
      <c r="C223"/>
      <c r="M223"/>
    </row>
    <row r="224" spans="3:13" ht="12.75" customHeight="1" x14ac:dyDescent="0.2">
      <c r="C224"/>
      <c r="M224"/>
    </row>
    <row r="225" spans="3:13" ht="12.75" customHeight="1" x14ac:dyDescent="0.2">
      <c r="C225"/>
      <c r="M225"/>
    </row>
    <row r="226" spans="3:13" ht="12.75" customHeight="1" x14ac:dyDescent="0.2">
      <c r="C226"/>
      <c r="M226"/>
    </row>
    <row r="227" spans="3:13" ht="12.75" customHeight="1" x14ac:dyDescent="0.2">
      <c r="C227"/>
      <c r="M227"/>
    </row>
    <row r="228" spans="3:13" ht="12.75" customHeight="1" x14ac:dyDescent="0.2">
      <c r="C228"/>
      <c r="M228"/>
    </row>
    <row r="229" spans="3:13" ht="12.75" customHeight="1" x14ac:dyDescent="0.2">
      <c r="C229"/>
      <c r="M229"/>
    </row>
    <row r="230" spans="3:13" ht="12.75" customHeight="1" x14ac:dyDescent="0.2">
      <c r="C230"/>
      <c r="M230"/>
    </row>
    <row r="231" spans="3:13" ht="12.75" customHeight="1" x14ac:dyDescent="0.2">
      <c r="C231"/>
      <c r="M231"/>
    </row>
    <row r="232" spans="3:13" ht="12.75" customHeight="1" x14ac:dyDescent="0.2">
      <c r="C232"/>
      <c r="M232"/>
    </row>
    <row r="233" spans="3:13" ht="12.75" customHeight="1" x14ac:dyDescent="0.2">
      <c r="C233"/>
      <c r="M233"/>
    </row>
    <row r="234" spans="3:13" ht="12.75" customHeight="1" x14ac:dyDescent="0.2">
      <c r="C234"/>
      <c r="M234"/>
    </row>
    <row r="235" spans="3:13" ht="12.75" customHeight="1" x14ac:dyDescent="0.2">
      <c r="C235"/>
      <c r="M235"/>
    </row>
    <row r="236" spans="3:13" ht="12.75" customHeight="1" x14ac:dyDescent="0.2">
      <c r="C236"/>
      <c r="M236"/>
    </row>
    <row r="237" spans="3:13" ht="12.75" customHeight="1" x14ac:dyDescent="0.2">
      <c r="C237"/>
      <c r="M237"/>
    </row>
    <row r="238" spans="3:13" ht="12.75" customHeight="1" x14ac:dyDescent="0.2">
      <c r="C238"/>
      <c r="M238"/>
    </row>
    <row r="239" spans="3:13" ht="12.75" customHeight="1" x14ac:dyDescent="0.2">
      <c r="C239"/>
      <c r="M239"/>
    </row>
    <row r="240" spans="3:13" ht="12.75" customHeight="1" x14ac:dyDescent="0.2">
      <c r="C240"/>
      <c r="M240"/>
    </row>
    <row r="241" spans="3:13" ht="12.75" customHeight="1" x14ac:dyDescent="0.2">
      <c r="C241"/>
      <c r="M241"/>
    </row>
    <row r="242" spans="3:13" ht="12.75" customHeight="1" x14ac:dyDescent="0.2">
      <c r="C242"/>
      <c r="M242"/>
    </row>
    <row r="243" spans="3:13" ht="12.75" customHeight="1" x14ac:dyDescent="0.2">
      <c r="C243"/>
      <c r="M243"/>
    </row>
    <row r="244" spans="3:13" ht="12.75" customHeight="1" x14ac:dyDescent="0.2">
      <c r="C244"/>
      <c r="M244"/>
    </row>
    <row r="245" spans="3:13" ht="12.75" customHeight="1" x14ac:dyDescent="0.2">
      <c r="C245"/>
      <c r="M245"/>
    </row>
    <row r="246" spans="3:13" ht="12.75" customHeight="1" x14ac:dyDescent="0.2">
      <c r="C246"/>
      <c r="M246"/>
    </row>
    <row r="247" spans="3:13" ht="12.75" customHeight="1" x14ac:dyDescent="0.2">
      <c r="C247"/>
      <c r="M247"/>
    </row>
    <row r="248" spans="3:13" ht="12.75" customHeight="1" x14ac:dyDescent="0.2">
      <c r="C248"/>
      <c r="M248"/>
    </row>
    <row r="249" spans="3:13" ht="12.75" customHeight="1" x14ac:dyDescent="0.2">
      <c r="C249"/>
      <c r="M249"/>
    </row>
    <row r="250" spans="3:13" ht="12.75" customHeight="1" x14ac:dyDescent="0.2">
      <c r="C250"/>
      <c r="M250"/>
    </row>
    <row r="251" spans="3:13" ht="12.75" customHeight="1" x14ac:dyDescent="0.2">
      <c r="C251"/>
      <c r="M251"/>
    </row>
    <row r="252" spans="3:13" ht="12.75" customHeight="1" x14ac:dyDescent="0.2">
      <c r="C252"/>
      <c r="M252"/>
    </row>
    <row r="253" spans="3:13" ht="12.75" customHeight="1" x14ac:dyDescent="0.2">
      <c r="C253"/>
      <c r="M253"/>
    </row>
    <row r="254" spans="3:13" ht="12.75" customHeight="1" x14ac:dyDescent="0.2">
      <c r="C254"/>
      <c r="M254"/>
    </row>
    <row r="255" spans="3:13" ht="12.75" customHeight="1" x14ac:dyDescent="0.2">
      <c r="C255"/>
      <c r="M255"/>
    </row>
    <row r="256" spans="3:13" ht="12.75" customHeight="1" x14ac:dyDescent="0.2">
      <c r="C256"/>
      <c r="M256"/>
    </row>
    <row r="257" spans="3:13" ht="12.75" customHeight="1" x14ac:dyDescent="0.2">
      <c r="C257"/>
      <c r="M257"/>
    </row>
    <row r="258" spans="3:13" ht="12.75" customHeight="1" x14ac:dyDescent="0.2">
      <c r="C258"/>
      <c r="M258"/>
    </row>
    <row r="259" spans="3:13" ht="12.75" customHeight="1" x14ac:dyDescent="0.2">
      <c r="C259"/>
      <c r="M259"/>
    </row>
    <row r="260" spans="3:13" ht="12.75" customHeight="1" x14ac:dyDescent="0.2">
      <c r="C260"/>
      <c r="M260"/>
    </row>
    <row r="261" spans="3:13" ht="12.75" customHeight="1" x14ac:dyDescent="0.2">
      <c r="C261"/>
      <c r="M261"/>
    </row>
    <row r="262" spans="3:13" ht="12.75" customHeight="1" x14ac:dyDescent="0.2">
      <c r="C262"/>
      <c r="M262"/>
    </row>
    <row r="263" spans="3:13" ht="12.75" customHeight="1" x14ac:dyDescent="0.2">
      <c r="C263"/>
      <c r="M263"/>
    </row>
    <row r="264" spans="3:13" ht="12.75" customHeight="1" x14ac:dyDescent="0.2">
      <c r="C264"/>
      <c r="M264"/>
    </row>
    <row r="265" spans="3:13" ht="12.75" customHeight="1" x14ac:dyDescent="0.2">
      <c r="C265"/>
      <c r="M265"/>
    </row>
    <row r="266" spans="3:13" ht="12.75" customHeight="1" x14ac:dyDescent="0.2">
      <c r="C266"/>
      <c r="M266"/>
    </row>
    <row r="267" spans="3:13" ht="12.75" customHeight="1" x14ac:dyDescent="0.2">
      <c r="C267"/>
      <c r="M267"/>
    </row>
    <row r="268" spans="3:13" ht="12.75" customHeight="1" x14ac:dyDescent="0.2">
      <c r="C268"/>
      <c r="M268"/>
    </row>
    <row r="269" spans="3:13" ht="12.75" customHeight="1" x14ac:dyDescent="0.2">
      <c r="C269"/>
      <c r="M269"/>
    </row>
    <row r="270" spans="3:13" ht="12.75" customHeight="1" x14ac:dyDescent="0.2">
      <c r="C270"/>
      <c r="M270"/>
    </row>
    <row r="271" spans="3:13" ht="12.75" customHeight="1" x14ac:dyDescent="0.2">
      <c r="C271"/>
      <c r="M271"/>
    </row>
    <row r="272" spans="3:13" ht="12.75" customHeight="1" x14ac:dyDescent="0.2">
      <c r="C272"/>
      <c r="M272"/>
    </row>
    <row r="273" spans="3:13" ht="12.75" customHeight="1" x14ac:dyDescent="0.2">
      <c r="C273"/>
      <c r="M273"/>
    </row>
    <row r="274" spans="3:13" ht="12.75" customHeight="1" x14ac:dyDescent="0.2">
      <c r="C274"/>
      <c r="M274"/>
    </row>
    <row r="275" spans="3:13" ht="12.75" customHeight="1" x14ac:dyDescent="0.2">
      <c r="C275"/>
      <c r="M275"/>
    </row>
    <row r="276" spans="3:13" ht="12.75" customHeight="1" x14ac:dyDescent="0.2">
      <c r="C276"/>
      <c r="M276"/>
    </row>
    <row r="277" spans="3:13" ht="12.75" customHeight="1" x14ac:dyDescent="0.2">
      <c r="C277"/>
      <c r="M277"/>
    </row>
    <row r="278" spans="3:13" ht="12.75" customHeight="1" x14ac:dyDescent="0.2">
      <c r="C278"/>
      <c r="M278"/>
    </row>
    <row r="279" spans="3:13" ht="12.75" customHeight="1" x14ac:dyDescent="0.2">
      <c r="C279"/>
      <c r="M279"/>
    </row>
    <row r="280" spans="3:13" ht="12.75" customHeight="1" x14ac:dyDescent="0.2">
      <c r="C280"/>
      <c r="M280"/>
    </row>
    <row r="281" spans="3:13" ht="12.75" customHeight="1" x14ac:dyDescent="0.2">
      <c r="C281"/>
      <c r="M281"/>
    </row>
    <row r="282" spans="3:13" ht="12.75" customHeight="1" x14ac:dyDescent="0.2">
      <c r="C282"/>
      <c r="M282"/>
    </row>
    <row r="283" spans="3:13" ht="12.75" customHeight="1" x14ac:dyDescent="0.2">
      <c r="C283"/>
      <c r="M283"/>
    </row>
    <row r="284" spans="3:13" ht="12.75" customHeight="1" x14ac:dyDescent="0.2">
      <c r="C284"/>
      <c r="M284"/>
    </row>
    <row r="285" spans="3:13" ht="12.75" customHeight="1" x14ac:dyDescent="0.2">
      <c r="C285"/>
      <c r="M285"/>
    </row>
    <row r="286" spans="3:13" ht="12.75" customHeight="1" x14ac:dyDescent="0.2">
      <c r="C286"/>
      <c r="M286"/>
    </row>
    <row r="287" spans="3:13" ht="12.75" customHeight="1" x14ac:dyDescent="0.2">
      <c r="C287"/>
      <c r="M287"/>
    </row>
    <row r="288" spans="3:13" ht="12.75" customHeight="1" x14ac:dyDescent="0.2">
      <c r="C288"/>
      <c r="M288"/>
    </row>
    <row r="289" spans="3:13" ht="12.75" customHeight="1" x14ac:dyDescent="0.2">
      <c r="C289"/>
      <c r="M289"/>
    </row>
    <row r="290" spans="3:13" ht="12.75" customHeight="1" x14ac:dyDescent="0.2">
      <c r="C290"/>
      <c r="M290"/>
    </row>
    <row r="291" spans="3:13" ht="12.75" customHeight="1" x14ac:dyDescent="0.2">
      <c r="C291"/>
      <c r="M291"/>
    </row>
    <row r="292" spans="3:13" ht="12.75" customHeight="1" x14ac:dyDescent="0.2">
      <c r="C292"/>
      <c r="M292"/>
    </row>
    <row r="293" spans="3:13" ht="12.75" customHeight="1" x14ac:dyDescent="0.2">
      <c r="C293"/>
      <c r="M293"/>
    </row>
    <row r="294" spans="3:13" ht="12.75" customHeight="1" x14ac:dyDescent="0.2">
      <c r="C294"/>
      <c r="M294"/>
    </row>
    <row r="295" spans="3:13" ht="12.75" customHeight="1" x14ac:dyDescent="0.2">
      <c r="C295"/>
      <c r="M295"/>
    </row>
    <row r="296" spans="3:13" ht="12.75" customHeight="1" x14ac:dyDescent="0.2">
      <c r="C296"/>
      <c r="M296"/>
    </row>
    <row r="297" spans="3:13" ht="12.75" customHeight="1" x14ac:dyDescent="0.2">
      <c r="C297"/>
      <c r="M297"/>
    </row>
    <row r="298" spans="3:13" ht="12.75" customHeight="1" x14ac:dyDescent="0.2">
      <c r="C298"/>
      <c r="M298"/>
    </row>
    <row r="299" spans="3:13" ht="12.75" customHeight="1" x14ac:dyDescent="0.2">
      <c r="C299"/>
      <c r="M299"/>
    </row>
    <row r="300" spans="3:13" ht="12.75" customHeight="1" x14ac:dyDescent="0.2">
      <c r="C300"/>
      <c r="M300"/>
    </row>
    <row r="301" spans="3:13" ht="12.75" customHeight="1" x14ac:dyDescent="0.2">
      <c r="C301"/>
      <c r="M301"/>
    </row>
    <row r="302" spans="3:13" ht="12.75" customHeight="1" x14ac:dyDescent="0.2">
      <c r="C302"/>
      <c r="M302"/>
    </row>
    <row r="303" spans="3:13" ht="12.75" customHeight="1" x14ac:dyDescent="0.2">
      <c r="C303"/>
      <c r="M303"/>
    </row>
    <row r="304" spans="3:13" ht="12.75" customHeight="1" x14ac:dyDescent="0.2">
      <c r="C304"/>
      <c r="M304"/>
    </row>
    <row r="305" spans="3:13" ht="12.75" customHeight="1" x14ac:dyDescent="0.2">
      <c r="C305"/>
      <c r="M305"/>
    </row>
    <row r="306" spans="3:13" ht="12.75" customHeight="1" x14ac:dyDescent="0.2">
      <c r="C306"/>
      <c r="M306"/>
    </row>
    <row r="307" spans="3:13" ht="12.75" customHeight="1" x14ac:dyDescent="0.2">
      <c r="C307"/>
      <c r="M307"/>
    </row>
    <row r="308" spans="3:13" ht="12.75" customHeight="1" x14ac:dyDescent="0.2">
      <c r="C308"/>
      <c r="M308"/>
    </row>
    <row r="309" spans="3:13" ht="12.75" customHeight="1" x14ac:dyDescent="0.2">
      <c r="C309"/>
      <c r="M309"/>
    </row>
    <row r="310" spans="3:13" ht="12.75" customHeight="1" x14ac:dyDescent="0.2">
      <c r="C310"/>
      <c r="M310"/>
    </row>
    <row r="311" spans="3:13" ht="12.75" customHeight="1" x14ac:dyDescent="0.2">
      <c r="C311"/>
      <c r="M311"/>
    </row>
    <row r="312" spans="3:13" ht="12.75" customHeight="1" x14ac:dyDescent="0.2">
      <c r="C312"/>
      <c r="M312"/>
    </row>
    <row r="313" spans="3:13" ht="12.75" customHeight="1" x14ac:dyDescent="0.2">
      <c r="C313"/>
      <c r="M313"/>
    </row>
    <row r="314" spans="3:13" ht="12.75" customHeight="1" x14ac:dyDescent="0.2">
      <c r="C314"/>
      <c r="M314"/>
    </row>
    <row r="315" spans="3:13" ht="12.75" customHeight="1" x14ac:dyDescent="0.2">
      <c r="C315"/>
      <c r="M315"/>
    </row>
    <row r="316" spans="3:13" ht="12.75" customHeight="1" x14ac:dyDescent="0.2">
      <c r="C316"/>
      <c r="M316"/>
    </row>
    <row r="317" spans="3:13" ht="12.75" customHeight="1" x14ac:dyDescent="0.2">
      <c r="C317"/>
      <c r="M317"/>
    </row>
    <row r="318" spans="3:13" ht="12.75" customHeight="1" x14ac:dyDescent="0.2">
      <c r="C318"/>
      <c r="M318"/>
    </row>
    <row r="319" spans="3:13" ht="12.75" customHeight="1" x14ac:dyDescent="0.2">
      <c r="C319"/>
      <c r="M319"/>
    </row>
    <row r="320" spans="3:13" ht="12.75" customHeight="1" x14ac:dyDescent="0.2">
      <c r="C320"/>
      <c r="M320"/>
    </row>
    <row r="321" spans="3:13" ht="12.75" customHeight="1" x14ac:dyDescent="0.2">
      <c r="C321"/>
      <c r="M321"/>
    </row>
    <row r="322" spans="3:13" ht="12.75" customHeight="1" x14ac:dyDescent="0.2">
      <c r="C322"/>
      <c r="M322"/>
    </row>
    <row r="323" spans="3:13" ht="12.75" customHeight="1" x14ac:dyDescent="0.2">
      <c r="C323"/>
      <c r="M323"/>
    </row>
    <row r="324" spans="3:13" ht="12.75" customHeight="1" x14ac:dyDescent="0.2">
      <c r="C324"/>
      <c r="M324"/>
    </row>
    <row r="325" spans="3:13" ht="12.75" customHeight="1" x14ac:dyDescent="0.2">
      <c r="C325"/>
      <c r="M325"/>
    </row>
    <row r="326" spans="3:13" ht="12.75" customHeight="1" x14ac:dyDescent="0.2">
      <c r="C326"/>
      <c r="M326"/>
    </row>
    <row r="327" spans="3:13" ht="12.75" customHeight="1" x14ac:dyDescent="0.2">
      <c r="C327"/>
      <c r="M327"/>
    </row>
    <row r="328" spans="3:13" ht="12.75" customHeight="1" x14ac:dyDescent="0.2">
      <c r="C328"/>
      <c r="M328"/>
    </row>
    <row r="329" spans="3:13" ht="12.75" customHeight="1" x14ac:dyDescent="0.2">
      <c r="C329"/>
      <c r="M329"/>
    </row>
    <row r="330" spans="3:13" ht="12.75" customHeight="1" x14ac:dyDescent="0.2">
      <c r="C330"/>
      <c r="M330"/>
    </row>
    <row r="331" spans="3:13" ht="12.75" customHeight="1" x14ac:dyDescent="0.2">
      <c r="C331"/>
      <c r="M331"/>
    </row>
    <row r="332" spans="3:13" ht="12.75" customHeight="1" x14ac:dyDescent="0.2">
      <c r="C332"/>
      <c r="M332"/>
    </row>
    <row r="333" spans="3:13" ht="12.75" customHeight="1" x14ac:dyDescent="0.2">
      <c r="C333"/>
      <c r="M333"/>
    </row>
    <row r="334" spans="3:13" ht="12.75" customHeight="1" x14ac:dyDescent="0.2">
      <c r="C334"/>
      <c r="M334"/>
    </row>
    <row r="335" spans="3:13" ht="12.75" customHeight="1" x14ac:dyDescent="0.2">
      <c r="C335"/>
      <c r="M335"/>
    </row>
    <row r="336" spans="3:13" ht="12.75" customHeight="1" x14ac:dyDescent="0.2">
      <c r="C336"/>
      <c r="M336"/>
    </row>
    <row r="337" spans="3:13" ht="12.75" customHeight="1" x14ac:dyDescent="0.2">
      <c r="C337"/>
      <c r="M337"/>
    </row>
    <row r="338" spans="3:13" ht="12.75" customHeight="1" x14ac:dyDescent="0.2">
      <c r="C338"/>
      <c r="M338"/>
    </row>
    <row r="339" spans="3:13" ht="12.75" customHeight="1" x14ac:dyDescent="0.2">
      <c r="C339"/>
      <c r="M339"/>
    </row>
    <row r="340" spans="3:13" ht="12.75" customHeight="1" x14ac:dyDescent="0.2">
      <c r="C340"/>
      <c r="M340"/>
    </row>
    <row r="341" spans="3:13" ht="12.75" customHeight="1" x14ac:dyDescent="0.2">
      <c r="C341"/>
      <c r="M341"/>
    </row>
    <row r="342" spans="3:13" ht="12.75" customHeight="1" x14ac:dyDescent="0.2">
      <c r="C342"/>
      <c r="M342"/>
    </row>
    <row r="343" spans="3:13" ht="12.75" customHeight="1" x14ac:dyDescent="0.2">
      <c r="C343"/>
      <c r="M343"/>
    </row>
    <row r="344" spans="3:13" ht="12.75" customHeight="1" x14ac:dyDescent="0.2">
      <c r="C344"/>
      <c r="M344"/>
    </row>
    <row r="345" spans="3:13" ht="12.75" customHeight="1" x14ac:dyDescent="0.2">
      <c r="C345"/>
      <c r="M345"/>
    </row>
    <row r="346" spans="3:13" ht="12.75" customHeight="1" x14ac:dyDescent="0.2">
      <c r="C346"/>
      <c r="M346"/>
    </row>
    <row r="347" spans="3:13" ht="12.75" customHeight="1" x14ac:dyDescent="0.2">
      <c r="C347"/>
      <c r="M347"/>
    </row>
    <row r="348" spans="3:13" ht="12.75" customHeight="1" x14ac:dyDescent="0.2">
      <c r="C348"/>
      <c r="M348"/>
    </row>
    <row r="349" spans="3:13" ht="12.75" customHeight="1" x14ac:dyDescent="0.2">
      <c r="C349"/>
      <c r="M349"/>
    </row>
    <row r="350" spans="3:13" ht="12.75" customHeight="1" x14ac:dyDescent="0.2">
      <c r="C350"/>
      <c r="M350"/>
    </row>
    <row r="351" spans="3:13" ht="12.75" customHeight="1" x14ac:dyDescent="0.2">
      <c r="C351"/>
      <c r="M351"/>
    </row>
    <row r="352" spans="3:13" ht="12.75" customHeight="1" x14ac:dyDescent="0.2">
      <c r="C352"/>
      <c r="M352"/>
    </row>
    <row r="353" spans="3:13" ht="12.75" customHeight="1" x14ac:dyDescent="0.2">
      <c r="C353"/>
      <c r="M353"/>
    </row>
    <row r="354" spans="3:13" ht="12.75" customHeight="1" x14ac:dyDescent="0.2">
      <c r="C354"/>
      <c r="M354"/>
    </row>
    <row r="355" spans="3:13" ht="12.75" customHeight="1" x14ac:dyDescent="0.2">
      <c r="C355"/>
      <c r="M355"/>
    </row>
    <row r="356" spans="3:13" ht="12.75" customHeight="1" x14ac:dyDescent="0.2">
      <c r="C356"/>
      <c r="M356"/>
    </row>
    <row r="357" spans="3:13" ht="12.75" customHeight="1" x14ac:dyDescent="0.2">
      <c r="C357"/>
      <c r="M357"/>
    </row>
    <row r="358" spans="3:13" ht="12.75" customHeight="1" x14ac:dyDescent="0.2">
      <c r="C358"/>
      <c r="M358"/>
    </row>
    <row r="359" spans="3:13" ht="12.75" customHeight="1" x14ac:dyDescent="0.2">
      <c r="C359"/>
      <c r="M359"/>
    </row>
    <row r="360" spans="3:13" ht="12.75" customHeight="1" x14ac:dyDescent="0.2">
      <c r="C360"/>
      <c r="M360"/>
    </row>
    <row r="361" spans="3:13" ht="12.75" customHeight="1" x14ac:dyDescent="0.2">
      <c r="C361"/>
      <c r="M361"/>
    </row>
    <row r="362" spans="3:13" ht="12.75" customHeight="1" x14ac:dyDescent="0.2">
      <c r="C362"/>
      <c r="M362"/>
    </row>
    <row r="363" spans="3:13" ht="12.75" customHeight="1" x14ac:dyDescent="0.2">
      <c r="C363"/>
      <c r="M363"/>
    </row>
    <row r="364" spans="3:13" ht="12.75" customHeight="1" x14ac:dyDescent="0.2">
      <c r="C364"/>
      <c r="M364"/>
    </row>
    <row r="365" spans="3:13" ht="12.75" customHeight="1" x14ac:dyDescent="0.2">
      <c r="C365"/>
      <c r="M365"/>
    </row>
    <row r="366" spans="3:13" ht="12.75" customHeight="1" x14ac:dyDescent="0.2">
      <c r="C366"/>
      <c r="M366"/>
    </row>
    <row r="367" spans="3:13" ht="12.75" customHeight="1" x14ac:dyDescent="0.2">
      <c r="C367"/>
      <c r="M367"/>
    </row>
    <row r="368" spans="3:13" ht="12.75" customHeight="1" x14ac:dyDescent="0.2">
      <c r="C368"/>
      <c r="M368"/>
    </row>
    <row r="369" spans="3:13" ht="12.75" customHeight="1" x14ac:dyDescent="0.2">
      <c r="C369"/>
      <c r="M369"/>
    </row>
    <row r="370" spans="3:13" ht="12.75" customHeight="1" x14ac:dyDescent="0.2">
      <c r="C370"/>
      <c r="M370"/>
    </row>
    <row r="371" spans="3:13" ht="12.75" customHeight="1" x14ac:dyDescent="0.2">
      <c r="C371"/>
      <c r="M371"/>
    </row>
    <row r="372" spans="3:13" ht="12.75" customHeight="1" x14ac:dyDescent="0.2">
      <c r="C372"/>
      <c r="M372"/>
    </row>
    <row r="373" spans="3:13" ht="12.75" customHeight="1" x14ac:dyDescent="0.2">
      <c r="C373"/>
      <c r="M373"/>
    </row>
    <row r="374" spans="3:13" ht="12.75" customHeight="1" x14ac:dyDescent="0.2">
      <c r="C374"/>
      <c r="M374"/>
    </row>
    <row r="375" spans="3:13" ht="12.75" customHeight="1" x14ac:dyDescent="0.2">
      <c r="C375"/>
      <c r="M375"/>
    </row>
    <row r="376" spans="3:13" ht="12.75" customHeight="1" x14ac:dyDescent="0.2">
      <c r="C376"/>
      <c r="M376"/>
    </row>
    <row r="377" spans="3:13" ht="12.75" customHeight="1" x14ac:dyDescent="0.2">
      <c r="C377"/>
      <c r="M377"/>
    </row>
    <row r="378" spans="3:13" ht="12.75" customHeight="1" x14ac:dyDescent="0.2">
      <c r="C378"/>
      <c r="M378"/>
    </row>
    <row r="379" spans="3:13" ht="12.75" customHeight="1" x14ac:dyDescent="0.2">
      <c r="C379"/>
      <c r="M379"/>
    </row>
    <row r="380" spans="3:13" ht="12.75" customHeight="1" x14ac:dyDescent="0.2">
      <c r="C380"/>
      <c r="M380"/>
    </row>
    <row r="381" spans="3:13" ht="12.75" customHeight="1" x14ac:dyDescent="0.2">
      <c r="C381"/>
      <c r="M381"/>
    </row>
    <row r="382" spans="3:13" ht="12.75" customHeight="1" x14ac:dyDescent="0.2">
      <c r="C382"/>
      <c r="M382"/>
    </row>
    <row r="383" spans="3:13" ht="12.75" customHeight="1" x14ac:dyDescent="0.2">
      <c r="C383"/>
      <c r="M383"/>
    </row>
    <row r="384" spans="3:13" ht="12.75" customHeight="1" x14ac:dyDescent="0.2">
      <c r="C384"/>
      <c r="M384"/>
    </row>
    <row r="385" spans="3:13" ht="12.75" customHeight="1" x14ac:dyDescent="0.2">
      <c r="C385"/>
      <c r="M385"/>
    </row>
    <row r="386" spans="3:13" ht="12.75" customHeight="1" x14ac:dyDescent="0.2">
      <c r="C386"/>
      <c r="M386"/>
    </row>
    <row r="387" spans="3:13" ht="12.75" customHeight="1" x14ac:dyDescent="0.2">
      <c r="C387"/>
      <c r="M387"/>
    </row>
    <row r="388" spans="3:13" ht="12.75" customHeight="1" x14ac:dyDescent="0.2">
      <c r="C388"/>
      <c r="M388"/>
    </row>
    <row r="389" spans="3:13" ht="12.75" customHeight="1" x14ac:dyDescent="0.2">
      <c r="C389"/>
      <c r="M389"/>
    </row>
    <row r="390" spans="3:13" ht="12.75" customHeight="1" x14ac:dyDescent="0.2">
      <c r="C390"/>
      <c r="M390"/>
    </row>
    <row r="391" spans="3:13" ht="12.75" customHeight="1" x14ac:dyDescent="0.2">
      <c r="C391"/>
      <c r="M391"/>
    </row>
    <row r="392" spans="3:13" ht="12.75" customHeight="1" x14ac:dyDescent="0.2">
      <c r="C392"/>
      <c r="M392"/>
    </row>
    <row r="393" spans="3:13" ht="12.75" customHeight="1" x14ac:dyDescent="0.2">
      <c r="C393"/>
      <c r="M393"/>
    </row>
    <row r="394" spans="3:13" ht="12.75" customHeight="1" x14ac:dyDescent="0.2">
      <c r="C394"/>
      <c r="M394"/>
    </row>
    <row r="395" spans="3:13" ht="12.75" customHeight="1" x14ac:dyDescent="0.2">
      <c r="C395"/>
      <c r="M395"/>
    </row>
    <row r="396" spans="3:13" ht="12.75" customHeight="1" x14ac:dyDescent="0.2">
      <c r="C396"/>
      <c r="M396"/>
    </row>
    <row r="397" spans="3:13" ht="12.75" customHeight="1" x14ac:dyDescent="0.2">
      <c r="C397"/>
      <c r="M397"/>
    </row>
    <row r="398" spans="3:13" ht="12.75" customHeight="1" x14ac:dyDescent="0.2">
      <c r="C398"/>
      <c r="M398"/>
    </row>
    <row r="399" spans="3:13" ht="12.75" customHeight="1" x14ac:dyDescent="0.2">
      <c r="C399"/>
      <c r="M399"/>
    </row>
    <row r="400" spans="3:13" ht="12.75" customHeight="1" x14ac:dyDescent="0.2">
      <c r="C400"/>
      <c r="M400"/>
    </row>
    <row r="401" spans="3:13" ht="12.75" customHeight="1" x14ac:dyDescent="0.2">
      <c r="C401"/>
      <c r="M401"/>
    </row>
    <row r="402" spans="3:13" ht="12.75" customHeight="1" x14ac:dyDescent="0.2">
      <c r="C402"/>
      <c r="M402"/>
    </row>
    <row r="403" spans="3:13" ht="12.75" customHeight="1" x14ac:dyDescent="0.2">
      <c r="C403"/>
      <c r="M403"/>
    </row>
    <row r="404" spans="3:13" ht="12.75" customHeight="1" x14ac:dyDescent="0.2">
      <c r="C404"/>
      <c r="M404"/>
    </row>
    <row r="405" spans="3:13" ht="12.75" customHeight="1" x14ac:dyDescent="0.2">
      <c r="C405"/>
      <c r="M405"/>
    </row>
    <row r="406" spans="3:13" ht="12.75" customHeight="1" x14ac:dyDescent="0.2">
      <c r="C406"/>
      <c r="M406"/>
    </row>
    <row r="407" spans="3:13" ht="12.75" customHeight="1" x14ac:dyDescent="0.2">
      <c r="C407"/>
      <c r="M407"/>
    </row>
    <row r="408" spans="3:13" ht="12.75" customHeight="1" x14ac:dyDescent="0.2">
      <c r="C408"/>
      <c r="M408"/>
    </row>
    <row r="409" spans="3:13" ht="12.75" customHeight="1" x14ac:dyDescent="0.2">
      <c r="C409"/>
      <c r="M409"/>
    </row>
    <row r="410" spans="3:13" ht="12.75" customHeight="1" x14ac:dyDescent="0.2">
      <c r="C410"/>
      <c r="M410"/>
    </row>
    <row r="411" spans="3:13" ht="12.75" customHeight="1" x14ac:dyDescent="0.2">
      <c r="C411"/>
      <c r="M411"/>
    </row>
    <row r="412" spans="3:13" ht="12.75" customHeight="1" x14ac:dyDescent="0.2">
      <c r="C412"/>
      <c r="M412"/>
    </row>
    <row r="413" spans="3:13" ht="12.75" customHeight="1" x14ac:dyDescent="0.2">
      <c r="C413"/>
      <c r="M413"/>
    </row>
    <row r="414" spans="3:13" ht="12.75" customHeight="1" x14ac:dyDescent="0.2">
      <c r="C414"/>
      <c r="M414"/>
    </row>
    <row r="415" spans="3:13" ht="12.75" customHeight="1" x14ac:dyDescent="0.2">
      <c r="C415"/>
      <c r="M415"/>
    </row>
    <row r="416" spans="3:13" ht="12.75" customHeight="1" x14ac:dyDescent="0.2">
      <c r="C416"/>
      <c r="M416"/>
    </row>
    <row r="417" spans="3:13" ht="12.75" customHeight="1" x14ac:dyDescent="0.2">
      <c r="C417"/>
      <c r="M417"/>
    </row>
    <row r="418" spans="3:13" ht="12.75" customHeight="1" x14ac:dyDescent="0.2">
      <c r="C418"/>
      <c r="M418"/>
    </row>
    <row r="419" spans="3:13" ht="12.75" customHeight="1" x14ac:dyDescent="0.2">
      <c r="C419"/>
      <c r="M419"/>
    </row>
    <row r="420" spans="3:13" ht="12.75" customHeight="1" x14ac:dyDescent="0.2">
      <c r="C420"/>
      <c r="M420"/>
    </row>
    <row r="421" spans="3:13" ht="12.75" customHeight="1" x14ac:dyDescent="0.2">
      <c r="C421"/>
      <c r="M421"/>
    </row>
    <row r="422" spans="3:13" ht="12.75" customHeight="1" x14ac:dyDescent="0.2">
      <c r="C422"/>
      <c r="M422"/>
    </row>
    <row r="423" spans="3:13" ht="12.75" customHeight="1" x14ac:dyDescent="0.2">
      <c r="C423"/>
      <c r="M423"/>
    </row>
    <row r="424" spans="3:13" ht="12.75" customHeight="1" x14ac:dyDescent="0.2">
      <c r="C424"/>
      <c r="M424"/>
    </row>
    <row r="425" spans="3:13" ht="12.75" customHeight="1" x14ac:dyDescent="0.2">
      <c r="C425"/>
      <c r="M425"/>
    </row>
    <row r="426" spans="3:13" ht="12.75" customHeight="1" x14ac:dyDescent="0.2">
      <c r="C426"/>
      <c r="M426"/>
    </row>
    <row r="427" spans="3:13" ht="12.75" customHeight="1" x14ac:dyDescent="0.2">
      <c r="C427"/>
      <c r="M427"/>
    </row>
    <row r="428" spans="3:13" ht="12.75" customHeight="1" x14ac:dyDescent="0.2">
      <c r="C428"/>
      <c r="M428"/>
    </row>
    <row r="429" spans="3:13" ht="12.75" customHeight="1" x14ac:dyDescent="0.2">
      <c r="C429"/>
      <c r="M429"/>
    </row>
    <row r="430" spans="3:13" ht="12.75" customHeight="1" x14ac:dyDescent="0.2">
      <c r="C430"/>
      <c r="M430"/>
    </row>
    <row r="431" spans="3:13" ht="12.75" customHeight="1" x14ac:dyDescent="0.2">
      <c r="C431"/>
      <c r="M431"/>
    </row>
    <row r="432" spans="3:13" ht="12.75" customHeight="1" x14ac:dyDescent="0.2">
      <c r="C432"/>
      <c r="M432"/>
    </row>
    <row r="433" spans="3:13" ht="12.75" customHeight="1" x14ac:dyDescent="0.2">
      <c r="C433"/>
      <c r="M433"/>
    </row>
    <row r="434" spans="3:13" ht="12.75" customHeight="1" x14ac:dyDescent="0.2">
      <c r="C434"/>
      <c r="M434"/>
    </row>
    <row r="435" spans="3:13" ht="12.75" customHeight="1" x14ac:dyDescent="0.2">
      <c r="C435"/>
      <c r="M435"/>
    </row>
    <row r="436" spans="3:13" ht="12.75" customHeight="1" x14ac:dyDescent="0.2">
      <c r="C436"/>
      <c r="M436"/>
    </row>
    <row r="437" spans="3:13" ht="12.75" customHeight="1" x14ac:dyDescent="0.2">
      <c r="C437"/>
      <c r="M437"/>
    </row>
    <row r="438" spans="3:13" ht="12.75" customHeight="1" x14ac:dyDescent="0.2">
      <c r="C438"/>
      <c r="M438"/>
    </row>
    <row r="439" spans="3:13" ht="12.75" customHeight="1" x14ac:dyDescent="0.2">
      <c r="C439"/>
      <c r="M439"/>
    </row>
    <row r="440" spans="3:13" ht="12.75" customHeight="1" x14ac:dyDescent="0.2">
      <c r="C440"/>
      <c r="M440"/>
    </row>
    <row r="441" spans="3:13" ht="12.75" customHeight="1" x14ac:dyDescent="0.2">
      <c r="C441"/>
      <c r="M441"/>
    </row>
    <row r="442" spans="3:13" ht="12.75" customHeight="1" x14ac:dyDescent="0.2">
      <c r="C442"/>
      <c r="M442"/>
    </row>
    <row r="443" spans="3:13" ht="12.75" customHeight="1" x14ac:dyDescent="0.2">
      <c r="C443"/>
      <c r="M443"/>
    </row>
    <row r="444" spans="3:13" ht="12.75" customHeight="1" x14ac:dyDescent="0.2">
      <c r="C444"/>
      <c r="M444"/>
    </row>
    <row r="445" spans="3:13" ht="12.75" customHeight="1" x14ac:dyDescent="0.2">
      <c r="C445"/>
      <c r="M445"/>
    </row>
    <row r="446" spans="3:13" ht="12.75" customHeight="1" x14ac:dyDescent="0.2">
      <c r="C446"/>
      <c r="M446"/>
    </row>
    <row r="447" spans="3:13" ht="12.75" customHeight="1" x14ac:dyDescent="0.2">
      <c r="C447"/>
      <c r="M447"/>
    </row>
    <row r="448" spans="3:13" ht="12.75" customHeight="1" x14ac:dyDescent="0.2">
      <c r="C448"/>
      <c r="M448"/>
    </row>
    <row r="449" spans="3:13" ht="12.75" customHeight="1" x14ac:dyDescent="0.2">
      <c r="C449"/>
      <c r="M449"/>
    </row>
    <row r="450" spans="3:13" ht="12.75" customHeight="1" x14ac:dyDescent="0.2">
      <c r="C450"/>
      <c r="M450"/>
    </row>
    <row r="451" spans="3:13" ht="12.75" customHeight="1" x14ac:dyDescent="0.2">
      <c r="C451"/>
      <c r="M451"/>
    </row>
    <row r="452" spans="3:13" ht="12.75" customHeight="1" x14ac:dyDescent="0.2">
      <c r="C452"/>
      <c r="M452"/>
    </row>
    <row r="453" spans="3:13" ht="12.75" customHeight="1" x14ac:dyDescent="0.2">
      <c r="C453"/>
      <c r="M453"/>
    </row>
    <row r="454" spans="3:13" ht="12.75" customHeight="1" x14ac:dyDescent="0.2">
      <c r="C454"/>
      <c r="M454"/>
    </row>
    <row r="455" spans="3:13" ht="12.75" customHeight="1" x14ac:dyDescent="0.2">
      <c r="C455"/>
      <c r="M455"/>
    </row>
    <row r="456" spans="3:13" ht="12.75" customHeight="1" x14ac:dyDescent="0.2">
      <c r="C456"/>
      <c r="M456"/>
    </row>
    <row r="457" spans="3:13" ht="12.75" customHeight="1" x14ac:dyDescent="0.2">
      <c r="C457"/>
      <c r="M457"/>
    </row>
    <row r="458" spans="3:13" ht="12.75" customHeight="1" x14ac:dyDescent="0.2">
      <c r="C458"/>
      <c r="M458"/>
    </row>
    <row r="459" spans="3:13" ht="12.75" customHeight="1" x14ac:dyDescent="0.2">
      <c r="C459"/>
      <c r="M459"/>
    </row>
    <row r="460" spans="3:13" ht="12.75" customHeight="1" x14ac:dyDescent="0.2">
      <c r="C460"/>
      <c r="M460"/>
    </row>
    <row r="461" spans="3:13" ht="12.75" customHeight="1" x14ac:dyDescent="0.2">
      <c r="C461"/>
      <c r="M461"/>
    </row>
    <row r="462" spans="3:13" ht="12.75" customHeight="1" x14ac:dyDescent="0.2">
      <c r="C462"/>
      <c r="M462"/>
    </row>
    <row r="463" spans="3:13" ht="12.75" customHeight="1" x14ac:dyDescent="0.2">
      <c r="C463"/>
      <c r="M463"/>
    </row>
    <row r="464" spans="3:13" ht="12.75" customHeight="1" x14ac:dyDescent="0.2">
      <c r="C464"/>
      <c r="M464"/>
    </row>
    <row r="465" spans="3:13" ht="12.75" customHeight="1" x14ac:dyDescent="0.2">
      <c r="C465"/>
      <c r="M465"/>
    </row>
    <row r="466" spans="3:13" ht="12.75" customHeight="1" x14ac:dyDescent="0.2">
      <c r="C466"/>
      <c r="M466"/>
    </row>
    <row r="467" spans="3:13" ht="12.75" customHeight="1" x14ac:dyDescent="0.2">
      <c r="C467"/>
      <c r="M467"/>
    </row>
    <row r="468" spans="3:13" ht="12.75" customHeight="1" x14ac:dyDescent="0.2">
      <c r="C468"/>
      <c r="M468"/>
    </row>
    <row r="469" spans="3:13" ht="12.75" customHeight="1" x14ac:dyDescent="0.2">
      <c r="C469"/>
      <c r="M469"/>
    </row>
    <row r="470" spans="3:13" ht="12.75" customHeight="1" x14ac:dyDescent="0.2">
      <c r="C470"/>
      <c r="M470"/>
    </row>
    <row r="471" spans="3:13" ht="12.75" customHeight="1" x14ac:dyDescent="0.2">
      <c r="C471"/>
      <c r="M471"/>
    </row>
    <row r="472" spans="3:13" ht="12.75" customHeight="1" x14ac:dyDescent="0.2">
      <c r="C472"/>
      <c r="M472"/>
    </row>
    <row r="473" spans="3:13" ht="12.75" customHeight="1" x14ac:dyDescent="0.2">
      <c r="C473"/>
      <c r="M473"/>
    </row>
    <row r="474" spans="3:13" ht="12.75" customHeight="1" x14ac:dyDescent="0.2">
      <c r="C474"/>
      <c r="M474"/>
    </row>
    <row r="475" spans="3:13" ht="12.75" customHeight="1" x14ac:dyDescent="0.2">
      <c r="C475"/>
      <c r="M475"/>
    </row>
    <row r="476" spans="3:13" ht="12.75" customHeight="1" x14ac:dyDescent="0.2">
      <c r="C476"/>
      <c r="M476"/>
    </row>
    <row r="477" spans="3:13" ht="12.75" customHeight="1" x14ac:dyDescent="0.2">
      <c r="C477"/>
      <c r="M477"/>
    </row>
    <row r="478" spans="3:13" ht="12.75" customHeight="1" x14ac:dyDescent="0.2">
      <c r="C478"/>
      <c r="M478"/>
    </row>
    <row r="479" spans="3:13" ht="12.75" customHeight="1" x14ac:dyDescent="0.2">
      <c r="C479"/>
      <c r="M479"/>
    </row>
    <row r="480" spans="3:13" ht="12.75" customHeight="1" x14ac:dyDescent="0.2">
      <c r="C480"/>
      <c r="M480"/>
    </row>
    <row r="481" spans="3:13" ht="12.75" customHeight="1" x14ac:dyDescent="0.2">
      <c r="C481"/>
      <c r="M481"/>
    </row>
    <row r="482" spans="3:13" ht="12.75" customHeight="1" x14ac:dyDescent="0.2">
      <c r="C482"/>
      <c r="M482"/>
    </row>
    <row r="483" spans="3:13" ht="12.75" customHeight="1" x14ac:dyDescent="0.2">
      <c r="C483"/>
      <c r="M483"/>
    </row>
    <row r="484" spans="3:13" ht="12.75" customHeight="1" x14ac:dyDescent="0.2">
      <c r="C484"/>
      <c r="M484"/>
    </row>
    <row r="485" spans="3:13" ht="12.75" customHeight="1" x14ac:dyDescent="0.2">
      <c r="C485"/>
      <c r="M485"/>
    </row>
    <row r="486" spans="3:13" ht="12.75" customHeight="1" x14ac:dyDescent="0.2">
      <c r="C486"/>
      <c r="M486"/>
    </row>
    <row r="487" spans="3:13" ht="12.75" customHeight="1" x14ac:dyDescent="0.2">
      <c r="C487"/>
      <c r="M487"/>
    </row>
    <row r="488" spans="3:13" ht="12.75" customHeight="1" x14ac:dyDescent="0.2">
      <c r="C488"/>
      <c r="M488"/>
    </row>
    <row r="489" spans="3:13" ht="12.75" customHeight="1" x14ac:dyDescent="0.2">
      <c r="C489"/>
      <c r="M489"/>
    </row>
    <row r="490" spans="3:13" ht="12.75" customHeight="1" x14ac:dyDescent="0.2">
      <c r="C490"/>
      <c r="M490"/>
    </row>
    <row r="491" spans="3:13" ht="12.75" customHeight="1" x14ac:dyDescent="0.2">
      <c r="C491"/>
      <c r="M491"/>
    </row>
    <row r="492" spans="3:13" ht="12.75" customHeight="1" x14ac:dyDescent="0.2">
      <c r="C492"/>
      <c r="M492"/>
    </row>
    <row r="493" spans="3:13" ht="12.75" customHeight="1" x14ac:dyDescent="0.2">
      <c r="C493"/>
      <c r="M493"/>
    </row>
    <row r="494" spans="3:13" ht="12.75" customHeight="1" x14ac:dyDescent="0.2">
      <c r="C494"/>
      <c r="M494"/>
    </row>
    <row r="495" spans="3:13" ht="12.75" customHeight="1" x14ac:dyDescent="0.2">
      <c r="C495"/>
      <c r="M495"/>
    </row>
    <row r="496" spans="3:13" ht="12.75" customHeight="1" x14ac:dyDescent="0.2">
      <c r="C496"/>
      <c r="M496"/>
    </row>
    <row r="497" spans="3:13" ht="12.75" customHeight="1" x14ac:dyDescent="0.2">
      <c r="C497"/>
      <c r="M497"/>
    </row>
    <row r="498" spans="3:13" ht="12.75" customHeight="1" x14ac:dyDescent="0.2">
      <c r="C498"/>
      <c r="M498"/>
    </row>
    <row r="499" spans="3:13" ht="12.75" customHeight="1" x14ac:dyDescent="0.2">
      <c r="C499"/>
      <c r="M499"/>
    </row>
    <row r="500" spans="3:13" ht="12.75" customHeight="1" x14ac:dyDescent="0.2">
      <c r="C500"/>
      <c r="M500"/>
    </row>
    <row r="501" spans="3:13" ht="12.75" customHeight="1" x14ac:dyDescent="0.2">
      <c r="C501"/>
      <c r="M501"/>
    </row>
    <row r="502" spans="3:13" ht="12.75" customHeight="1" x14ac:dyDescent="0.2">
      <c r="C502"/>
      <c r="M502"/>
    </row>
    <row r="503" spans="3:13" ht="12.75" customHeight="1" x14ac:dyDescent="0.2">
      <c r="C503"/>
      <c r="M503"/>
    </row>
    <row r="504" spans="3:13" ht="12.75" customHeight="1" x14ac:dyDescent="0.2">
      <c r="C504"/>
      <c r="M504"/>
    </row>
    <row r="505" spans="3:13" ht="12.75" customHeight="1" x14ac:dyDescent="0.2">
      <c r="C505"/>
      <c r="M505"/>
    </row>
    <row r="506" spans="3:13" ht="12.75" customHeight="1" x14ac:dyDescent="0.2">
      <c r="C506"/>
      <c r="M506"/>
    </row>
    <row r="507" spans="3:13" ht="12.75" customHeight="1" x14ac:dyDescent="0.2">
      <c r="C507"/>
      <c r="M507"/>
    </row>
    <row r="508" spans="3:13" ht="12.75" customHeight="1" x14ac:dyDescent="0.2">
      <c r="C508"/>
      <c r="M508"/>
    </row>
    <row r="509" spans="3:13" ht="12.75" customHeight="1" x14ac:dyDescent="0.2">
      <c r="C509"/>
      <c r="M509"/>
    </row>
    <row r="510" spans="3:13" ht="12.75" customHeight="1" x14ac:dyDescent="0.2">
      <c r="C510"/>
      <c r="M510"/>
    </row>
    <row r="511" spans="3:13" ht="12.75" customHeight="1" x14ac:dyDescent="0.2">
      <c r="C511"/>
      <c r="M511"/>
    </row>
    <row r="512" spans="3:13" ht="12.75" customHeight="1" x14ac:dyDescent="0.2">
      <c r="C512"/>
      <c r="M512"/>
    </row>
    <row r="513" spans="3:13" ht="12.75" customHeight="1" x14ac:dyDescent="0.2">
      <c r="C513"/>
      <c r="M513"/>
    </row>
    <row r="514" spans="3:13" ht="12.75" customHeight="1" x14ac:dyDescent="0.2">
      <c r="C514"/>
      <c r="M514"/>
    </row>
    <row r="515" spans="3:13" ht="12.75" customHeight="1" x14ac:dyDescent="0.2">
      <c r="C515"/>
      <c r="M515"/>
    </row>
    <row r="516" spans="3:13" ht="12.75" customHeight="1" x14ac:dyDescent="0.2">
      <c r="C516"/>
      <c r="M516"/>
    </row>
    <row r="517" spans="3:13" ht="12.75" customHeight="1" x14ac:dyDescent="0.2">
      <c r="C517"/>
      <c r="M517"/>
    </row>
    <row r="518" spans="3:13" ht="12.75" customHeight="1" x14ac:dyDescent="0.2">
      <c r="C518"/>
      <c r="M518"/>
    </row>
    <row r="519" spans="3:13" ht="12.75" customHeight="1" x14ac:dyDescent="0.2">
      <c r="C519"/>
      <c r="M519"/>
    </row>
    <row r="520" spans="3:13" ht="12.75" customHeight="1" x14ac:dyDescent="0.2">
      <c r="C520"/>
      <c r="M520"/>
    </row>
    <row r="521" spans="3:13" ht="12.75" customHeight="1" x14ac:dyDescent="0.2">
      <c r="C521"/>
      <c r="M521"/>
    </row>
    <row r="522" spans="3:13" ht="12.75" customHeight="1" x14ac:dyDescent="0.2">
      <c r="C522"/>
      <c r="M522"/>
    </row>
    <row r="523" spans="3:13" ht="12.75" customHeight="1" x14ac:dyDescent="0.2">
      <c r="C523"/>
      <c r="M523"/>
    </row>
    <row r="524" spans="3:13" ht="12.75" customHeight="1" x14ac:dyDescent="0.2">
      <c r="C524"/>
      <c r="M524"/>
    </row>
    <row r="525" spans="3:13" ht="12.75" customHeight="1" x14ac:dyDescent="0.2">
      <c r="C525"/>
      <c r="M525"/>
    </row>
    <row r="526" spans="3:13" ht="12.75" customHeight="1" x14ac:dyDescent="0.2">
      <c r="C526"/>
      <c r="M526"/>
    </row>
    <row r="527" spans="3:13" ht="12.75" customHeight="1" x14ac:dyDescent="0.2">
      <c r="C527"/>
      <c r="M527"/>
    </row>
    <row r="528" spans="3:13" ht="12.75" customHeight="1" x14ac:dyDescent="0.2">
      <c r="C528"/>
      <c r="M528"/>
    </row>
    <row r="529" spans="3:13" ht="12.75" customHeight="1" x14ac:dyDescent="0.2">
      <c r="C529"/>
      <c r="M529"/>
    </row>
    <row r="530" spans="3:13" ht="12.75" customHeight="1" x14ac:dyDescent="0.2">
      <c r="C530"/>
      <c r="M530"/>
    </row>
    <row r="531" spans="3:13" ht="12.75" customHeight="1" x14ac:dyDescent="0.2">
      <c r="C531"/>
      <c r="M531"/>
    </row>
    <row r="532" spans="3:13" ht="12.75" customHeight="1" x14ac:dyDescent="0.2">
      <c r="C532"/>
      <c r="M532"/>
    </row>
    <row r="533" spans="3:13" ht="12.75" customHeight="1" x14ac:dyDescent="0.2">
      <c r="C533"/>
      <c r="M533"/>
    </row>
    <row r="534" spans="3:13" ht="12.75" customHeight="1" x14ac:dyDescent="0.2">
      <c r="C534"/>
      <c r="M534"/>
    </row>
    <row r="535" spans="3:13" ht="12.75" customHeight="1" x14ac:dyDescent="0.2">
      <c r="C535"/>
      <c r="M535"/>
    </row>
    <row r="536" spans="3:13" ht="12.75" customHeight="1" x14ac:dyDescent="0.2">
      <c r="C536"/>
      <c r="M536"/>
    </row>
    <row r="537" spans="3:13" ht="12.75" customHeight="1" x14ac:dyDescent="0.2">
      <c r="C537"/>
      <c r="M537"/>
    </row>
    <row r="538" spans="3:13" ht="12.75" customHeight="1" x14ac:dyDescent="0.2">
      <c r="C538"/>
      <c r="M538"/>
    </row>
    <row r="539" spans="3:13" ht="12.75" customHeight="1" x14ac:dyDescent="0.2">
      <c r="C539"/>
      <c r="M539"/>
    </row>
    <row r="540" spans="3:13" ht="12.75" customHeight="1" x14ac:dyDescent="0.2">
      <c r="C540"/>
      <c r="M540"/>
    </row>
    <row r="541" spans="3:13" ht="12.75" customHeight="1" x14ac:dyDescent="0.2">
      <c r="C541"/>
      <c r="M541"/>
    </row>
    <row r="542" spans="3:13" ht="12.75" customHeight="1" x14ac:dyDescent="0.2">
      <c r="C542"/>
      <c r="M542"/>
    </row>
    <row r="543" spans="3:13" ht="12.75" customHeight="1" x14ac:dyDescent="0.2">
      <c r="C543"/>
      <c r="M543"/>
    </row>
    <row r="544" spans="3:13" ht="12.75" customHeight="1" x14ac:dyDescent="0.2">
      <c r="C544"/>
      <c r="M544"/>
    </row>
    <row r="545" spans="3:13" ht="12.75" customHeight="1" x14ac:dyDescent="0.2">
      <c r="C545"/>
      <c r="M545"/>
    </row>
    <row r="546" spans="3:13" ht="12.75" customHeight="1" x14ac:dyDescent="0.2">
      <c r="C546"/>
      <c r="M546"/>
    </row>
    <row r="547" spans="3:13" ht="12.75" customHeight="1" x14ac:dyDescent="0.2">
      <c r="C547"/>
      <c r="M547"/>
    </row>
    <row r="548" spans="3:13" ht="12.75" customHeight="1" x14ac:dyDescent="0.2">
      <c r="C548"/>
      <c r="M548"/>
    </row>
    <row r="549" spans="3:13" ht="12.75" customHeight="1" x14ac:dyDescent="0.2">
      <c r="C549"/>
      <c r="M549"/>
    </row>
    <row r="550" spans="3:13" ht="12.75" customHeight="1" x14ac:dyDescent="0.2">
      <c r="C550"/>
      <c r="M550"/>
    </row>
    <row r="551" spans="3:13" ht="12.75" customHeight="1" x14ac:dyDescent="0.2">
      <c r="C551"/>
      <c r="M551"/>
    </row>
    <row r="552" spans="3:13" ht="12.75" customHeight="1" x14ac:dyDescent="0.2">
      <c r="C552"/>
      <c r="M552"/>
    </row>
    <row r="553" spans="3:13" ht="12.75" customHeight="1" x14ac:dyDescent="0.2">
      <c r="C553"/>
      <c r="M553"/>
    </row>
    <row r="554" spans="3:13" ht="12.75" customHeight="1" x14ac:dyDescent="0.2">
      <c r="C554"/>
      <c r="M554"/>
    </row>
    <row r="555" spans="3:13" ht="12.75" customHeight="1" x14ac:dyDescent="0.2">
      <c r="C555"/>
      <c r="M555"/>
    </row>
    <row r="556" spans="3:13" ht="12.75" customHeight="1" x14ac:dyDescent="0.2">
      <c r="C556"/>
      <c r="M556"/>
    </row>
    <row r="557" spans="3:13" ht="12.75" customHeight="1" x14ac:dyDescent="0.2">
      <c r="C557"/>
      <c r="M557"/>
    </row>
    <row r="558" spans="3:13" ht="12.75" customHeight="1" x14ac:dyDescent="0.2">
      <c r="C558"/>
      <c r="M558"/>
    </row>
    <row r="559" spans="3:13" ht="12.75" customHeight="1" x14ac:dyDescent="0.2">
      <c r="C559"/>
      <c r="M559"/>
    </row>
    <row r="560" spans="3:13" ht="12.75" customHeight="1" x14ac:dyDescent="0.2">
      <c r="C560"/>
      <c r="M560"/>
    </row>
    <row r="561" spans="3:13" ht="12.75" customHeight="1" x14ac:dyDescent="0.2">
      <c r="C561"/>
      <c r="M561"/>
    </row>
    <row r="562" spans="3:13" ht="12.75" customHeight="1" x14ac:dyDescent="0.2">
      <c r="C562"/>
      <c r="M562"/>
    </row>
    <row r="563" spans="3:13" ht="12.75" customHeight="1" x14ac:dyDescent="0.2">
      <c r="C563"/>
      <c r="M563"/>
    </row>
    <row r="564" spans="3:13" ht="12.75" customHeight="1" x14ac:dyDescent="0.2">
      <c r="C564"/>
      <c r="M564"/>
    </row>
    <row r="565" spans="3:13" ht="12.75" customHeight="1" x14ac:dyDescent="0.2">
      <c r="C565"/>
      <c r="M565"/>
    </row>
    <row r="566" spans="3:13" ht="12.75" customHeight="1" x14ac:dyDescent="0.2">
      <c r="C566"/>
      <c r="M566"/>
    </row>
    <row r="567" spans="3:13" ht="12.75" customHeight="1" x14ac:dyDescent="0.2">
      <c r="C567"/>
      <c r="M567"/>
    </row>
    <row r="568" spans="3:13" ht="12.75" customHeight="1" x14ac:dyDescent="0.2">
      <c r="C568"/>
      <c r="M568"/>
    </row>
    <row r="569" spans="3:13" ht="12.75" customHeight="1" x14ac:dyDescent="0.2">
      <c r="C569"/>
      <c r="M569"/>
    </row>
    <row r="570" spans="3:13" ht="12.75" customHeight="1" x14ac:dyDescent="0.2">
      <c r="C570"/>
      <c r="M570"/>
    </row>
    <row r="571" spans="3:13" ht="12.75" customHeight="1" x14ac:dyDescent="0.2">
      <c r="C571"/>
      <c r="M571"/>
    </row>
    <row r="572" spans="3:13" ht="12.75" customHeight="1" x14ac:dyDescent="0.2">
      <c r="C572"/>
      <c r="M572"/>
    </row>
    <row r="573" spans="3:13" ht="12.75" customHeight="1" x14ac:dyDescent="0.2">
      <c r="C573"/>
      <c r="M573"/>
    </row>
    <row r="574" spans="3:13" ht="12.75" customHeight="1" x14ac:dyDescent="0.2">
      <c r="C574"/>
      <c r="M574"/>
    </row>
    <row r="575" spans="3:13" ht="12.75" customHeight="1" x14ac:dyDescent="0.2">
      <c r="C575"/>
      <c r="M575"/>
    </row>
    <row r="576" spans="3:13" ht="12.75" customHeight="1" x14ac:dyDescent="0.2">
      <c r="C576"/>
      <c r="M576"/>
    </row>
    <row r="577" spans="3:13" ht="12.75" customHeight="1" x14ac:dyDescent="0.2">
      <c r="C577"/>
      <c r="M577"/>
    </row>
    <row r="578" spans="3:13" ht="12.75" customHeight="1" x14ac:dyDescent="0.2">
      <c r="C578"/>
      <c r="M578"/>
    </row>
    <row r="579" spans="3:13" ht="12.75" customHeight="1" x14ac:dyDescent="0.2">
      <c r="C579"/>
      <c r="M579"/>
    </row>
    <row r="580" spans="3:13" ht="12.75" customHeight="1" x14ac:dyDescent="0.2">
      <c r="C580"/>
      <c r="M580"/>
    </row>
    <row r="581" spans="3:13" ht="12.75" customHeight="1" x14ac:dyDescent="0.2">
      <c r="C581"/>
      <c r="M581"/>
    </row>
    <row r="582" spans="3:13" ht="12.75" customHeight="1" x14ac:dyDescent="0.2">
      <c r="C582"/>
      <c r="M582"/>
    </row>
    <row r="583" spans="3:13" ht="12.75" customHeight="1" x14ac:dyDescent="0.2">
      <c r="C583"/>
      <c r="M583"/>
    </row>
    <row r="584" spans="3:13" ht="12.75" customHeight="1" x14ac:dyDescent="0.2">
      <c r="C584"/>
      <c r="M584"/>
    </row>
    <row r="585" spans="3:13" ht="12.75" customHeight="1" x14ac:dyDescent="0.2">
      <c r="C585"/>
      <c r="M585"/>
    </row>
    <row r="586" spans="3:13" ht="12.75" customHeight="1" x14ac:dyDescent="0.2">
      <c r="C586"/>
      <c r="M586"/>
    </row>
    <row r="587" spans="3:13" ht="12.75" customHeight="1" x14ac:dyDescent="0.2">
      <c r="C587"/>
      <c r="M587"/>
    </row>
    <row r="588" spans="3:13" ht="12.75" customHeight="1" x14ac:dyDescent="0.2">
      <c r="C588"/>
      <c r="M588"/>
    </row>
    <row r="589" spans="3:13" ht="12.75" customHeight="1" x14ac:dyDescent="0.2">
      <c r="C589"/>
      <c r="M589"/>
    </row>
    <row r="590" spans="3:13" ht="12.75" customHeight="1" x14ac:dyDescent="0.2">
      <c r="C590"/>
      <c r="M590"/>
    </row>
    <row r="591" spans="3:13" ht="12.75" customHeight="1" x14ac:dyDescent="0.2">
      <c r="C591"/>
      <c r="M591"/>
    </row>
    <row r="592" spans="3:13" ht="12.75" customHeight="1" x14ac:dyDescent="0.2">
      <c r="C592"/>
      <c r="M592"/>
    </row>
    <row r="593" spans="3:13" ht="12.75" customHeight="1" x14ac:dyDescent="0.2">
      <c r="C593"/>
      <c r="M593"/>
    </row>
    <row r="594" spans="3:13" ht="12.75" customHeight="1" x14ac:dyDescent="0.2">
      <c r="C594"/>
      <c r="M594"/>
    </row>
    <row r="595" spans="3:13" ht="12.75" customHeight="1" x14ac:dyDescent="0.2">
      <c r="C595"/>
      <c r="M595"/>
    </row>
    <row r="596" spans="3:13" ht="12.75" customHeight="1" x14ac:dyDescent="0.2">
      <c r="C596"/>
      <c r="M596"/>
    </row>
    <row r="597" spans="3:13" ht="12.75" customHeight="1" x14ac:dyDescent="0.2">
      <c r="C597"/>
      <c r="M597"/>
    </row>
    <row r="598" spans="3:13" ht="12.75" customHeight="1" x14ac:dyDescent="0.2">
      <c r="C598"/>
      <c r="M598"/>
    </row>
    <row r="599" spans="3:13" ht="12.75" customHeight="1" x14ac:dyDescent="0.2">
      <c r="C599"/>
      <c r="M599"/>
    </row>
    <row r="600" spans="3:13" ht="12.75" customHeight="1" x14ac:dyDescent="0.2">
      <c r="C600"/>
      <c r="M600"/>
    </row>
    <row r="601" spans="3:13" ht="12.75" customHeight="1" x14ac:dyDescent="0.2">
      <c r="C601"/>
      <c r="M601"/>
    </row>
    <row r="602" spans="3:13" ht="12.75" customHeight="1" x14ac:dyDescent="0.2">
      <c r="C602"/>
      <c r="M602"/>
    </row>
    <row r="603" spans="3:13" ht="12.75" customHeight="1" x14ac:dyDescent="0.2">
      <c r="C603"/>
      <c r="M603"/>
    </row>
    <row r="604" spans="3:13" ht="12.75" customHeight="1" x14ac:dyDescent="0.2">
      <c r="C604"/>
      <c r="M604"/>
    </row>
    <row r="605" spans="3:13" ht="12.75" customHeight="1" x14ac:dyDescent="0.2">
      <c r="C605"/>
      <c r="M605"/>
    </row>
    <row r="606" spans="3:13" ht="12.75" customHeight="1" x14ac:dyDescent="0.2">
      <c r="C606"/>
      <c r="M606"/>
    </row>
    <row r="607" spans="3:13" ht="12.75" customHeight="1" x14ac:dyDescent="0.2">
      <c r="C607"/>
      <c r="M607"/>
    </row>
    <row r="608" spans="3:13" ht="12.75" customHeight="1" x14ac:dyDescent="0.2">
      <c r="C608"/>
      <c r="M608"/>
    </row>
    <row r="609" spans="3:13" ht="12.75" customHeight="1" x14ac:dyDescent="0.2">
      <c r="C609"/>
      <c r="M609"/>
    </row>
    <row r="610" spans="3:13" ht="12.75" customHeight="1" x14ac:dyDescent="0.2">
      <c r="C610"/>
      <c r="M610"/>
    </row>
    <row r="611" spans="3:13" ht="12.75" customHeight="1" x14ac:dyDescent="0.2">
      <c r="C611"/>
      <c r="M611"/>
    </row>
    <row r="612" spans="3:13" ht="12.75" customHeight="1" x14ac:dyDescent="0.2">
      <c r="C612"/>
      <c r="M612"/>
    </row>
    <row r="613" spans="3:13" ht="12.75" customHeight="1" x14ac:dyDescent="0.2">
      <c r="C613"/>
      <c r="M613"/>
    </row>
    <row r="614" spans="3:13" ht="12.75" customHeight="1" x14ac:dyDescent="0.2">
      <c r="C614"/>
      <c r="M614"/>
    </row>
    <row r="615" spans="3:13" ht="12.75" customHeight="1" x14ac:dyDescent="0.2">
      <c r="C615"/>
      <c r="M615"/>
    </row>
    <row r="616" spans="3:13" ht="12.75" customHeight="1" x14ac:dyDescent="0.2">
      <c r="C616"/>
      <c r="M616"/>
    </row>
    <row r="617" spans="3:13" ht="12.75" customHeight="1" x14ac:dyDescent="0.2">
      <c r="C617"/>
      <c r="M617"/>
    </row>
    <row r="618" spans="3:13" ht="12.75" customHeight="1" x14ac:dyDescent="0.2">
      <c r="C618"/>
      <c r="M618"/>
    </row>
    <row r="619" spans="3:13" ht="12.75" customHeight="1" x14ac:dyDescent="0.2">
      <c r="C619"/>
      <c r="M619"/>
    </row>
    <row r="620" spans="3:13" ht="12.75" customHeight="1" x14ac:dyDescent="0.2">
      <c r="C620"/>
      <c r="M620"/>
    </row>
    <row r="621" spans="3:13" ht="12.75" customHeight="1" x14ac:dyDescent="0.2">
      <c r="C621"/>
      <c r="M621"/>
    </row>
    <row r="622" spans="3:13" ht="12.75" customHeight="1" x14ac:dyDescent="0.2">
      <c r="C622"/>
      <c r="M622"/>
    </row>
    <row r="623" spans="3:13" ht="12.75" customHeight="1" x14ac:dyDescent="0.2">
      <c r="C623"/>
      <c r="M623"/>
    </row>
    <row r="624" spans="3:13" ht="12.75" customHeight="1" x14ac:dyDescent="0.2">
      <c r="C624"/>
      <c r="M624"/>
    </row>
    <row r="625" spans="3:13" ht="12.75" customHeight="1" x14ac:dyDescent="0.2">
      <c r="C625"/>
      <c r="M625"/>
    </row>
    <row r="626" spans="3:13" ht="12.75" customHeight="1" x14ac:dyDescent="0.2">
      <c r="C626"/>
      <c r="M626"/>
    </row>
    <row r="627" spans="3:13" ht="12.75" customHeight="1" x14ac:dyDescent="0.2">
      <c r="C627"/>
      <c r="M627"/>
    </row>
    <row r="628" spans="3:13" ht="12.75" customHeight="1" x14ac:dyDescent="0.2">
      <c r="C628"/>
      <c r="M628"/>
    </row>
    <row r="629" spans="3:13" ht="12.75" customHeight="1" x14ac:dyDescent="0.2">
      <c r="C629"/>
      <c r="M629"/>
    </row>
    <row r="630" spans="3:13" ht="12.75" customHeight="1" x14ac:dyDescent="0.2">
      <c r="C630"/>
      <c r="M630"/>
    </row>
    <row r="631" spans="3:13" ht="12.75" customHeight="1" x14ac:dyDescent="0.2">
      <c r="C631"/>
      <c r="M631"/>
    </row>
    <row r="632" spans="3:13" ht="12.75" customHeight="1" x14ac:dyDescent="0.2">
      <c r="C632"/>
      <c r="M632"/>
    </row>
    <row r="633" spans="3:13" ht="12.75" customHeight="1" x14ac:dyDescent="0.2">
      <c r="C633"/>
      <c r="M633"/>
    </row>
    <row r="634" spans="3:13" ht="12.75" customHeight="1" x14ac:dyDescent="0.2">
      <c r="C634"/>
      <c r="M634"/>
    </row>
    <row r="635" spans="3:13" ht="12.75" customHeight="1" x14ac:dyDescent="0.2">
      <c r="C635"/>
      <c r="M635"/>
    </row>
    <row r="636" spans="3:13" ht="12.75" customHeight="1" x14ac:dyDescent="0.2">
      <c r="C636"/>
      <c r="M636"/>
    </row>
    <row r="637" spans="3:13" ht="12.75" customHeight="1" x14ac:dyDescent="0.2">
      <c r="C637"/>
      <c r="M637"/>
    </row>
    <row r="638" spans="3:13" ht="12.75" customHeight="1" x14ac:dyDescent="0.2">
      <c r="C638"/>
      <c r="M638"/>
    </row>
    <row r="639" spans="3:13" ht="12.75" customHeight="1" x14ac:dyDescent="0.2">
      <c r="C639"/>
      <c r="M639"/>
    </row>
    <row r="640" spans="3:13" ht="12.75" customHeight="1" x14ac:dyDescent="0.2">
      <c r="C640"/>
      <c r="M640"/>
    </row>
    <row r="641" spans="3:13" ht="12.75" customHeight="1" x14ac:dyDescent="0.2">
      <c r="C641"/>
      <c r="M641"/>
    </row>
    <row r="642" spans="3:13" ht="12.75" customHeight="1" x14ac:dyDescent="0.2">
      <c r="C642"/>
      <c r="M642"/>
    </row>
    <row r="643" spans="3:13" ht="12.75" customHeight="1" x14ac:dyDescent="0.2">
      <c r="C643"/>
      <c r="M643"/>
    </row>
    <row r="644" spans="3:13" ht="12.75" customHeight="1" x14ac:dyDescent="0.2">
      <c r="C644"/>
      <c r="M644"/>
    </row>
    <row r="645" spans="3:13" ht="12.75" customHeight="1" x14ac:dyDescent="0.2">
      <c r="C645"/>
      <c r="M645"/>
    </row>
    <row r="646" spans="3:13" ht="12.75" customHeight="1" x14ac:dyDescent="0.2">
      <c r="C646"/>
      <c r="M646"/>
    </row>
    <row r="647" spans="3:13" ht="12.75" customHeight="1" x14ac:dyDescent="0.2">
      <c r="C647"/>
      <c r="M647"/>
    </row>
    <row r="648" spans="3:13" ht="12.75" customHeight="1" x14ac:dyDescent="0.2">
      <c r="C648"/>
      <c r="M648"/>
    </row>
    <row r="649" spans="3:13" ht="12.75" customHeight="1" x14ac:dyDescent="0.2">
      <c r="C649"/>
      <c r="M649"/>
    </row>
    <row r="650" spans="3:13" ht="12.75" customHeight="1" x14ac:dyDescent="0.2">
      <c r="C650"/>
      <c r="M650"/>
    </row>
    <row r="651" spans="3:13" ht="12.75" customHeight="1" x14ac:dyDescent="0.2">
      <c r="C651"/>
      <c r="M651"/>
    </row>
    <row r="652" spans="3:13" ht="12.75" customHeight="1" x14ac:dyDescent="0.2">
      <c r="C652"/>
      <c r="M652"/>
    </row>
    <row r="653" spans="3:13" ht="12.75" customHeight="1" x14ac:dyDescent="0.2">
      <c r="C653"/>
      <c r="M653"/>
    </row>
    <row r="654" spans="3:13" ht="12.75" customHeight="1" x14ac:dyDescent="0.2">
      <c r="C654"/>
      <c r="M654"/>
    </row>
    <row r="655" spans="3:13" ht="12.75" customHeight="1" x14ac:dyDescent="0.2">
      <c r="C655"/>
      <c r="M655"/>
    </row>
    <row r="656" spans="3:13" ht="12.75" customHeight="1" x14ac:dyDescent="0.2">
      <c r="C656"/>
      <c r="M656"/>
    </row>
    <row r="657" spans="3:13" ht="12.75" customHeight="1" x14ac:dyDescent="0.2">
      <c r="C657"/>
      <c r="M657"/>
    </row>
    <row r="658" spans="3:13" ht="12.75" customHeight="1" x14ac:dyDescent="0.2">
      <c r="C658"/>
      <c r="M658"/>
    </row>
    <row r="659" spans="3:13" ht="12.75" customHeight="1" x14ac:dyDescent="0.2">
      <c r="C659"/>
      <c r="M659"/>
    </row>
    <row r="660" spans="3:13" ht="12.75" customHeight="1" x14ac:dyDescent="0.2">
      <c r="C660"/>
      <c r="M660"/>
    </row>
    <row r="661" spans="3:13" ht="12.75" customHeight="1" x14ac:dyDescent="0.2">
      <c r="C661"/>
      <c r="M661"/>
    </row>
    <row r="662" spans="3:13" ht="12.75" customHeight="1" x14ac:dyDescent="0.2">
      <c r="C662"/>
      <c r="M662"/>
    </row>
    <row r="663" spans="3:13" ht="12.75" customHeight="1" x14ac:dyDescent="0.2">
      <c r="C663"/>
      <c r="M663"/>
    </row>
    <row r="664" spans="3:13" ht="12.75" customHeight="1" x14ac:dyDescent="0.2">
      <c r="C664"/>
      <c r="M664"/>
    </row>
    <row r="665" spans="3:13" ht="12.75" customHeight="1" x14ac:dyDescent="0.2">
      <c r="C665"/>
      <c r="M665"/>
    </row>
    <row r="666" spans="3:13" ht="12.75" customHeight="1" x14ac:dyDescent="0.2">
      <c r="C666"/>
      <c r="M666"/>
    </row>
    <row r="667" spans="3:13" ht="12.75" customHeight="1" x14ac:dyDescent="0.2">
      <c r="C667"/>
      <c r="M667"/>
    </row>
    <row r="668" spans="3:13" ht="12.75" customHeight="1" x14ac:dyDescent="0.2">
      <c r="C668"/>
      <c r="M668"/>
    </row>
    <row r="669" spans="3:13" ht="12.75" customHeight="1" x14ac:dyDescent="0.2">
      <c r="C669"/>
      <c r="M669"/>
    </row>
    <row r="670" spans="3:13" ht="12.75" customHeight="1" x14ac:dyDescent="0.2">
      <c r="C670"/>
      <c r="M670"/>
    </row>
    <row r="671" spans="3:13" ht="12.75" customHeight="1" x14ac:dyDescent="0.2">
      <c r="C671"/>
      <c r="M671"/>
    </row>
    <row r="672" spans="3:13" ht="12.75" customHeight="1" x14ac:dyDescent="0.2">
      <c r="C672"/>
      <c r="M672"/>
    </row>
    <row r="673" spans="3:13" ht="12.75" customHeight="1" x14ac:dyDescent="0.2">
      <c r="C673"/>
      <c r="M673"/>
    </row>
    <row r="674" spans="3:13" ht="12.75" customHeight="1" x14ac:dyDescent="0.2">
      <c r="C674"/>
      <c r="M674"/>
    </row>
    <row r="675" spans="3:13" ht="12.75" customHeight="1" x14ac:dyDescent="0.2">
      <c r="C675"/>
      <c r="M675"/>
    </row>
    <row r="676" spans="3:13" ht="12.75" customHeight="1" x14ac:dyDescent="0.2">
      <c r="C676"/>
      <c r="M676"/>
    </row>
    <row r="677" spans="3:13" ht="12.75" customHeight="1" x14ac:dyDescent="0.2">
      <c r="C677"/>
      <c r="M677"/>
    </row>
    <row r="678" spans="3:13" ht="12.75" customHeight="1" x14ac:dyDescent="0.2">
      <c r="C678"/>
      <c r="M678"/>
    </row>
    <row r="679" spans="3:13" ht="12.75" customHeight="1" x14ac:dyDescent="0.2">
      <c r="C679"/>
      <c r="M679"/>
    </row>
    <row r="680" spans="3:13" ht="12.75" customHeight="1" x14ac:dyDescent="0.2">
      <c r="C680"/>
      <c r="M680"/>
    </row>
    <row r="681" spans="3:13" ht="12.75" customHeight="1" x14ac:dyDescent="0.2">
      <c r="C681"/>
      <c r="M681"/>
    </row>
    <row r="682" spans="3:13" ht="12.75" customHeight="1" x14ac:dyDescent="0.2">
      <c r="C682"/>
      <c r="M682"/>
    </row>
    <row r="683" spans="3:13" ht="12.75" customHeight="1" x14ac:dyDescent="0.2">
      <c r="C683"/>
      <c r="M683"/>
    </row>
    <row r="684" spans="3:13" ht="12.75" customHeight="1" x14ac:dyDescent="0.2">
      <c r="C684"/>
      <c r="M684"/>
    </row>
    <row r="685" spans="3:13" ht="12.75" customHeight="1" x14ac:dyDescent="0.2">
      <c r="C685"/>
      <c r="M685"/>
    </row>
    <row r="686" spans="3:13" ht="12.75" customHeight="1" x14ac:dyDescent="0.2">
      <c r="C686"/>
      <c r="M686"/>
    </row>
    <row r="687" spans="3:13" ht="12.75" customHeight="1" x14ac:dyDescent="0.2">
      <c r="C687"/>
      <c r="M687"/>
    </row>
    <row r="688" spans="3:13" ht="12.75" customHeight="1" x14ac:dyDescent="0.2">
      <c r="C688"/>
      <c r="M688"/>
    </row>
    <row r="689" spans="3:13" ht="12.75" customHeight="1" x14ac:dyDescent="0.2">
      <c r="C689"/>
      <c r="M689"/>
    </row>
    <row r="690" spans="3:13" ht="12.75" customHeight="1" x14ac:dyDescent="0.2">
      <c r="C690"/>
      <c r="M690"/>
    </row>
    <row r="691" spans="3:13" ht="12.75" customHeight="1" x14ac:dyDescent="0.2">
      <c r="C691"/>
      <c r="M691"/>
    </row>
    <row r="692" spans="3:13" ht="12.75" customHeight="1" x14ac:dyDescent="0.2">
      <c r="C692"/>
      <c r="M692"/>
    </row>
    <row r="693" spans="3:13" ht="12.75" customHeight="1" x14ac:dyDescent="0.2">
      <c r="C693"/>
      <c r="M693"/>
    </row>
    <row r="694" spans="3:13" ht="12.75" customHeight="1" x14ac:dyDescent="0.2">
      <c r="C694"/>
      <c r="M694"/>
    </row>
    <row r="695" spans="3:13" ht="12.75" customHeight="1" x14ac:dyDescent="0.2">
      <c r="C695"/>
      <c r="M695"/>
    </row>
    <row r="696" spans="3:13" ht="12.75" customHeight="1" x14ac:dyDescent="0.2">
      <c r="C696"/>
      <c r="M696"/>
    </row>
    <row r="697" spans="3:13" ht="12.75" customHeight="1" x14ac:dyDescent="0.2">
      <c r="C697"/>
      <c r="M697"/>
    </row>
    <row r="698" spans="3:13" ht="12.75" customHeight="1" x14ac:dyDescent="0.2">
      <c r="C698"/>
      <c r="M698"/>
    </row>
    <row r="699" spans="3:13" ht="12.75" customHeight="1" x14ac:dyDescent="0.2">
      <c r="C699"/>
      <c r="M699"/>
    </row>
    <row r="700" spans="3:13" ht="12.75" customHeight="1" x14ac:dyDescent="0.2">
      <c r="C700"/>
      <c r="M700"/>
    </row>
    <row r="701" spans="3:13" ht="12.75" customHeight="1" x14ac:dyDescent="0.2">
      <c r="C701"/>
      <c r="M701"/>
    </row>
    <row r="702" spans="3:13" ht="12.75" customHeight="1" x14ac:dyDescent="0.2">
      <c r="C702"/>
      <c r="M702"/>
    </row>
    <row r="703" spans="3:13" ht="12.75" customHeight="1" x14ac:dyDescent="0.2">
      <c r="C703"/>
      <c r="M703"/>
    </row>
    <row r="704" spans="3:13" ht="12.75" customHeight="1" x14ac:dyDescent="0.2">
      <c r="C704"/>
      <c r="M704"/>
    </row>
    <row r="705" spans="3:13" ht="12.75" customHeight="1" x14ac:dyDescent="0.2">
      <c r="C705"/>
      <c r="M705"/>
    </row>
    <row r="706" spans="3:13" ht="12.75" customHeight="1" x14ac:dyDescent="0.2">
      <c r="C706"/>
      <c r="M706"/>
    </row>
    <row r="707" spans="3:13" ht="12.75" customHeight="1" x14ac:dyDescent="0.2">
      <c r="C707"/>
      <c r="M707"/>
    </row>
    <row r="708" spans="3:13" ht="12.75" customHeight="1" x14ac:dyDescent="0.2">
      <c r="C708"/>
      <c r="M708"/>
    </row>
    <row r="709" spans="3:13" ht="12.75" customHeight="1" x14ac:dyDescent="0.2">
      <c r="C709"/>
      <c r="M709"/>
    </row>
    <row r="710" spans="3:13" ht="12.75" customHeight="1" x14ac:dyDescent="0.2">
      <c r="C710"/>
      <c r="M710"/>
    </row>
    <row r="711" spans="3:13" ht="12.75" customHeight="1" x14ac:dyDescent="0.2">
      <c r="C711"/>
      <c r="M711"/>
    </row>
    <row r="712" spans="3:13" ht="12.75" customHeight="1" x14ac:dyDescent="0.2">
      <c r="C712"/>
      <c r="M712"/>
    </row>
    <row r="713" spans="3:13" ht="12.75" customHeight="1" x14ac:dyDescent="0.2">
      <c r="C713"/>
      <c r="M713"/>
    </row>
    <row r="714" spans="3:13" ht="12.75" customHeight="1" x14ac:dyDescent="0.2">
      <c r="C714"/>
      <c r="M714"/>
    </row>
    <row r="715" spans="3:13" ht="12.75" customHeight="1" x14ac:dyDescent="0.2">
      <c r="C715"/>
      <c r="M715"/>
    </row>
    <row r="716" spans="3:13" ht="12.75" customHeight="1" x14ac:dyDescent="0.2">
      <c r="C716"/>
      <c r="M716"/>
    </row>
    <row r="717" spans="3:13" ht="12.75" customHeight="1" x14ac:dyDescent="0.2">
      <c r="C717"/>
      <c r="M717"/>
    </row>
    <row r="718" spans="3:13" ht="12.75" customHeight="1" x14ac:dyDescent="0.2">
      <c r="C718"/>
      <c r="M718"/>
    </row>
    <row r="719" spans="3:13" ht="12.75" customHeight="1" x14ac:dyDescent="0.2">
      <c r="C719"/>
      <c r="M719"/>
    </row>
    <row r="720" spans="3:13" ht="12.75" customHeight="1" x14ac:dyDescent="0.2">
      <c r="C720"/>
      <c r="M720"/>
    </row>
    <row r="721" spans="3:13" ht="12.75" customHeight="1" x14ac:dyDescent="0.2">
      <c r="C721"/>
      <c r="M721"/>
    </row>
    <row r="722" spans="3:13" ht="12.75" customHeight="1" x14ac:dyDescent="0.2">
      <c r="C722"/>
      <c r="M722"/>
    </row>
    <row r="723" spans="3:13" ht="12.75" customHeight="1" x14ac:dyDescent="0.2">
      <c r="C723"/>
      <c r="M723"/>
    </row>
    <row r="724" spans="3:13" ht="12.75" customHeight="1" x14ac:dyDescent="0.2">
      <c r="C724"/>
      <c r="M724"/>
    </row>
    <row r="725" spans="3:13" ht="12.75" customHeight="1" x14ac:dyDescent="0.2">
      <c r="C725"/>
      <c r="M725"/>
    </row>
    <row r="726" spans="3:13" ht="12.75" customHeight="1" x14ac:dyDescent="0.2">
      <c r="C726"/>
      <c r="M726"/>
    </row>
    <row r="727" spans="3:13" ht="12.75" customHeight="1" x14ac:dyDescent="0.2">
      <c r="C727"/>
      <c r="M727"/>
    </row>
    <row r="728" spans="3:13" ht="12.75" customHeight="1" x14ac:dyDescent="0.2">
      <c r="C728"/>
      <c r="M728"/>
    </row>
    <row r="729" spans="3:13" ht="12.75" customHeight="1" x14ac:dyDescent="0.2">
      <c r="C729"/>
      <c r="M729"/>
    </row>
    <row r="730" spans="3:13" ht="12.75" customHeight="1" x14ac:dyDescent="0.2">
      <c r="C730"/>
      <c r="M730"/>
    </row>
    <row r="731" spans="3:13" ht="12.75" customHeight="1" x14ac:dyDescent="0.2">
      <c r="C731"/>
      <c r="M731"/>
    </row>
    <row r="732" spans="3:13" ht="12.75" customHeight="1" x14ac:dyDescent="0.2">
      <c r="C732"/>
      <c r="M732"/>
    </row>
    <row r="733" spans="3:13" ht="12.75" customHeight="1" x14ac:dyDescent="0.2">
      <c r="C733"/>
      <c r="M733"/>
    </row>
    <row r="734" spans="3:13" ht="12.75" customHeight="1" x14ac:dyDescent="0.2">
      <c r="C734"/>
      <c r="M734"/>
    </row>
    <row r="735" spans="3:13" ht="12.75" customHeight="1" x14ac:dyDescent="0.2">
      <c r="C735"/>
      <c r="M735"/>
    </row>
    <row r="736" spans="3:13" ht="12.75" customHeight="1" x14ac:dyDescent="0.2">
      <c r="C736"/>
      <c r="M736"/>
    </row>
    <row r="737" spans="3:13" ht="12.75" customHeight="1" x14ac:dyDescent="0.2">
      <c r="C737"/>
      <c r="M737"/>
    </row>
    <row r="738" spans="3:13" ht="12.75" customHeight="1" x14ac:dyDescent="0.2">
      <c r="C738"/>
      <c r="M738"/>
    </row>
    <row r="739" spans="3:13" ht="12.75" customHeight="1" x14ac:dyDescent="0.2">
      <c r="C739"/>
      <c r="M739"/>
    </row>
    <row r="740" spans="3:13" ht="12.75" customHeight="1" x14ac:dyDescent="0.2">
      <c r="C740"/>
      <c r="M740"/>
    </row>
    <row r="741" spans="3:13" ht="12.75" customHeight="1" x14ac:dyDescent="0.2">
      <c r="C741"/>
      <c r="M741"/>
    </row>
    <row r="742" spans="3:13" ht="12.75" customHeight="1" x14ac:dyDescent="0.2">
      <c r="C742"/>
      <c r="M742"/>
    </row>
    <row r="743" spans="3:13" ht="12.75" customHeight="1" x14ac:dyDescent="0.2">
      <c r="C743"/>
      <c r="M743"/>
    </row>
    <row r="744" spans="3:13" ht="12.75" customHeight="1" x14ac:dyDescent="0.2">
      <c r="C744"/>
      <c r="M744"/>
    </row>
    <row r="745" spans="3:13" ht="12.75" customHeight="1" x14ac:dyDescent="0.2">
      <c r="C745"/>
      <c r="M745"/>
    </row>
    <row r="746" spans="3:13" ht="12.75" customHeight="1" x14ac:dyDescent="0.2">
      <c r="C746"/>
      <c r="M746"/>
    </row>
    <row r="747" spans="3:13" ht="12.75" customHeight="1" x14ac:dyDescent="0.2">
      <c r="C747"/>
      <c r="M747"/>
    </row>
    <row r="748" spans="3:13" ht="12.75" customHeight="1" x14ac:dyDescent="0.2">
      <c r="C748"/>
      <c r="M748"/>
    </row>
    <row r="749" spans="3:13" ht="12.75" customHeight="1" x14ac:dyDescent="0.2">
      <c r="C749"/>
      <c r="M749"/>
    </row>
    <row r="750" spans="3:13" ht="12.75" customHeight="1" x14ac:dyDescent="0.2">
      <c r="C750"/>
      <c r="M750"/>
    </row>
    <row r="751" spans="3:13" ht="12.75" customHeight="1" x14ac:dyDescent="0.2">
      <c r="C751"/>
      <c r="M751"/>
    </row>
    <row r="752" spans="3:13" ht="12.75" customHeight="1" x14ac:dyDescent="0.2">
      <c r="C752"/>
      <c r="M752"/>
    </row>
    <row r="753" spans="3:13" ht="12.75" customHeight="1" x14ac:dyDescent="0.2">
      <c r="C753"/>
      <c r="M753"/>
    </row>
    <row r="754" spans="3:13" ht="12.75" customHeight="1" x14ac:dyDescent="0.2">
      <c r="C754"/>
      <c r="M754"/>
    </row>
    <row r="755" spans="3:13" ht="12.75" customHeight="1" x14ac:dyDescent="0.2">
      <c r="C755"/>
      <c r="M755"/>
    </row>
    <row r="756" spans="3:13" ht="12.75" customHeight="1" x14ac:dyDescent="0.2">
      <c r="C756"/>
      <c r="M756"/>
    </row>
    <row r="757" spans="3:13" ht="12.75" customHeight="1" x14ac:dyDescent="0.2">
      <c r="C757"/>
      <c r="M757"/>
    </row>
    <row r="758" spans="3:13" ht="12.75" customHeight="1" x14ac:dyDescent="0.2">
      <c r="C758"/>
      <c r="M758"/>
    </row>
    <row r="759" spans="3:13" ht="12.75" customHeight="1" x14ac:dyDescent="0.2">
      <c r="C759"/>
      <c r="M759"/>
    </row>
    <row r="760" spans="3:13" ht="12.75" customHeight="1" x14ac:dyDescent="0.2">
      <c r="C760"/>
      <c r="M760"/>
    </row>
    <row r="761" spans="3:13" ht="12.75" customHeight="1" x14ac:dyDescent="0.2">
      <c r="C761"/>
      <c r="M761"/>
    </row>
    <row r="762" spans="3:13" ht="12.75" customHeight="1" x14ac:dyDescent="0.2">
      <c r="C762"/>
      <c r="M762"/>
    </row>
    <row r="763" spans="3:13" ht="12.75" customHeight="1" x14ac:dyDescent="0.2">
      <c r="C763"/>
      <c r="M763"/>
    </row>
    <row r="764" spans="3:13" ht="12.75" customHeight="1" x14ac:dyDescent="0.2">
      <c r="C764"/>
      <c r="M764"/>
    </row>
    <row r="765" spans="3:13" ht="12.75" customHeight="1" x14ac:dyDescent="0.2">
      <c r="C765"/>
      <c r="M765"/>
    </row>
    <row r="766" spans="3:13" ht="12.75" customHeight="1" x14ac:dyDescent="0.2">
      <c r="C766"/>
      <c r="M766"/>
    </row>
    <row r="767" spans="3:13" ht="12.75" customHeight="1" x14ac:dyDescent="0.2">
      <c r="C767"/>
      <c r="M767"/>
    </row>
    <row r="768" spans="3:13" ht="12.75" customHeight="1" x14ac:dyDescent="0.2">
      <c r="C768"/>
      <c r="M768"/>
    </row>
    <row r="769" spans="3:13" ht="12.75" customHeight="1" x14ac:dyDescent="0.2">
      <c r="C769"/>
      <c r="M769"/>
    </row>
    <row r="770" spans="3:13" ht="12.75" customHeight="1" x14ac:dyDescent="0.2">
      <c r="C770"/>
      <c r="M770"/>
    </row>
    <row r="771" spans="3:13" ht="12.75" customHeight="1" x14ac:dyDescent="0.2">
      <c r="C771"/>
      <c r="M771"/>
    </row>
    <row r="772" spans="3:13" ht="12.75" customHeight="1" x14ac:dyDescent="0.2">
      <c r="C772"/>
      <c r="M772"/>
    </row>
    <row r="773" spans="3:13" ht="12.75" customHeight="1" x14ac:dyDescent="0.2">
      <c r="C773"/>
      <c r="M773"/>
    </row>
    <row r="774" spans="3:13" ht="12.75" customHeight="1" x14ac:dyDescent="0.2">
      <c r="C774"/>
      <c r="M774"/>
    </row>
    <row r="775" spans="3:13" ht="12.75" customHeight="1" x14ac:dyDescent="0.2">
      <c r="C775"/>
      <c r="M775"/>
    </row>
    <row r="776" spans="3:13" ht="12.75" customHeight="1" x14ac:dyDescent="0.2">
      <c r="C776"/>
      <c r="M776"/>
    </row>
    <row r="777" spans="3:13" ht="12.75" customHeight="1" x14ac:dyDescent="0.2">
      <c r="C777"/>
      <c r="M777"/>
    </row>
    <row r="778" spans="3:13" ht="12.75" customHeight="1" x14ac:dyDescent="0.2">
      <c r="C778"/>
      <c r="M778"/>
    </row>
    <row r="779" spans="3:13" ht="12.75" customHeight="1" x14ac:dyDescent="0.2">
      <c r="C779"/>
      <c r="M779"/>
    </row>
    <row r="780" spans="3:13" ht="12.75" customHeight="1" x14ac:dyDescent="0.2">
      <c r="C780"/>
      <c r="M780"/>
    </row>
    <row r="781" spans="3:13" ht="12.75" customHeight="1" x14ac:dyDescent="0.2">
      <c r="C781"/>
      <c r="M781"/>
    </row>
    <row r="782" spans="3:13" ht="12.75" customHeight="1" x14ac:dyDescent="0.2">
      <c r="C782"/>
      <c r="M782"/>
    </row>
    <row r="783" spans="3:13" ht="12.75" customHeight="1" x14ac:dyDescent="0.2">
      <c r="C783"/>
      <c r="M783"/>
    </row>
    <row r="784" spans="3:13" ht="12.75" customHeight="1" x14ac:dyDescent="0.2">
      <c r="C784"/>
      <c r="M784"/>
    </row>
    <row r="785" spans="3:13" ht="12.75" customHeight="1" x14ac:dyDescent="0.2">
      <c r="C785"/>
      <c r="M785"/>
    </row>
    <row r="786" spans="3:13" ht="12.75" customHeight="1" x14ac:dyDescent="0.2">
      <c r="C786"/>
      <c r="M786"/>
    </row>
    <row r="787" spans="3:13" ht="12.75" customHeight="1" x14ac:dyDescent="0.2">
      <c r="C787"/>
      <c r="M787"/>
    </row>
    <row r="788" spans="3:13" ht="12.75" customHeight="1" x14ac:dyDescent="0.2">
      <c r="C788"/>
      <c r="M788"/>
    </row>
    <row r="789" spans="3:13" ht="12.75" customHeight="1" x14ac:dyDescent="0.2">
      <c r="C789"/>
      <c r="M789"/>
    </row>
    <row r="790" spans="3:13" ht="12.75" customHeight="1" x14ac:dyDescent="0.2">
      <c r="C790"/>
      <c r="M790"/>
    </row>
    <row r="791" spans="3:13" ht="12.75" customHeight="1" x14ac:dyDescent="0.2">
      <c r="C791"/>
      <c r="M791"/>
    </row>
    <row r="792" spans="3:13" ht="12.75" customHeight="1" x14ac:dyDescent="0.2">
      <c r="C792"/>
      <c r="M792"/>
    </row>
    <row r="793" spans="3:13" ht="12.75" customHeight="1" x14ac:dyDescent="0.2">
      <c r="C793"/>
      <c r="M793"/>
    </row>
    <row r="794" spans="3:13" ht="12.75" customHeight="1" x14ac:dyDescent="0.2">
      <c r="C794"/>
      <c r="M794"/>
    </row>
    <row r="795" spans="3:13" ht="12.75" customHeight="1" x14ac:dyDescent="0.2">
      <c r="C795"/>
      <c r="M795"/>
    </row>
    <row r="796" spans="3:13" ht="12.75" customHeight="1" x14ac:dyDescent="0.2">
      <c r="C796"/>
      <c r="M796"/>
    </row>
    <row r="797" spans="3:13" ht="12.75" customHeight="1" x14ac:dyDescent="0.2">
      <c r="C797"/>
      <c r="M797"/>
    </row>
    <row r="798" spans="3:13" ht="12.75" customHeight="1" x14ac:dyDescent="0.2">
      <c r="C798"/>
      <c r="M798"/>
    </row>
    <row r="799" spans="3:13" ht="12.75" customHeight="1" x14ac:dyDescent="0.2">
      <c r="C799"/>
      <c r="M799"/>
    </row>
    <row r="800" spans="3:13" ht="12.75" customHeight="1" x14ac:dyDescent="0.2">
      <c r="C800"/>
      <c r="M800"/>
    </row>
    <row r="801" spans="3:13" ht="12.75" customHeight="1" x14ac:dyDescent="0.2">
      <c r="C801"/>
      <c r="M801"/>
    </row>
    <row r="802" spans="3:13" ht="12.75" customHeight="1" x14ac:dyDescent="0.2">
      <c r="C802"/>
      <c r="M802"/>
    </row>
    <row r="803" spans="3:13" ht="12.75" customHeight="1" x14ac:dyDescent="0.2">
      <c r="C803"/>
      <c r="M803"/>
    </row>
    <row r="804" spans="3:13" ht="12.75" customHeight="1" x14ac:dyDescent="0.2">
      <c r="C804"/>
      <c r="M804"/>
    </row>
    <row r="805" spans="3:13" ht="12.75" customHeight="1" x14ac:dyDescent="0.2">
      <c r="C805"/>
      <c r="M805"/>
    </row>
    <row r="806" spans="3:13" ht="12.75" customHeight="1" x14ac:dyDescent="0.2">
      <c r="C806"/>
      <c r="M806"/>
    </row>
    <row r="807" spans="3:13" ht="12.75" customHeight="1" x14ac:dyDescent="0.2">
      <c r="C807"/>
      <c r="M807"/>
    </row>
    <row r="808" spans="3:13" ht="12.75" customHeight="1" x14ac:dyDescent="0.2">
      <c r="C808"/>
      <c r="M808"/>
    </row>
    <row r="809" spans="3:13" ht="12.75" customHeight="1" x14ac:dyDescent="0.2">
      <c r="C809"/>
      <c r="M809"/>
    </row>
    <row r="810" spans="3:13" ht="12.75" customHeight="1" x14ac:dyDescent="0.2">
      <c r="C810"/>
      <c r="M810"/>
    </row>
    <row r="811" spans="3:13" ht="12.75" customHeight="1" x14ac:dyDescent="0.2">
      <c r="C811"/>
      <c r="M811"/>
    </row>
    <row r="812" spans="3:13" ht="12.75" customHeight="1" x14ac:dyDescent="0.2">
      <c r="C812"/>
      <c r="M812"/>
    </row>
    <row r="813" spans="3:13" ht="12.75" customHeight="1" x14ac:dyDescent="0.2">
      <c r="C813"/>
      <c r="M813"/>
    </row>
    <row r="814" spans="3:13" ht="12.75" customHeight="1" x14ac:dyDescent="0.2">
      <c r="C814"/>
      <c r="M814"/>
    </row>
    <row r="815" spans="3:13" ht="12.75" customHeight="1" x14ac:dyDescent="0.2">
      <c r="C815"/>
      <c r="M815"/>
    </row>
    <row r="816" spans="3:13" ht="12.75" customHeight="1" x14ac:dyDescent="0.2">
      <c r="C816"/>
      <c r="M816"/>
    </row>
    <row r="817" spans="3:13" ht="12.75" customHeight="1" x14ac:dyDescent="0.2">
      <c r="C817"/>
      <c r="M817"/>
    </row>
    <row r="818" spans="3:13" ht="12.75" customHeight="1" x14ac:dyDescent="0.2">
      <c r="C818"/>
      <c r="M818"/>
    </row>
    <row r="819" spans="3:13" ht="12.75" customHeight="1" x14ac:dyDescent="0.2">
      <c r="C819"/>
      <c r="M819"/>
    </row>
    <row r="820" spans="3:13" ht="12.75" customHeight="1" x14ac:dyDescent="0.2">
      <c r="C820"/>
      <c r="M820"/>
    </row>
    <row r="821" spans="3:13" ht="12.75" customHeight="1" x14ac:dyDescent="0.2">
      <c r="C821"/>
      <c r="M821"/>
    </row>
    <row r="822" spans="3:13" ht="12.75" customHeight="1" x14ac:dyDescent="0.2">
      <c r="C822"/>
      <c r="M822"/>
    </row>
    <row r="823" spans="3:13" ht="12.75" customHeight="1" x14ac:dyDescent="0.2">
      <c r="C823"/>
      <c r="M823"/>
    </row>
    <row r="824" spans="3:13" ht="12.75" customHeight="1" x14ac:dyDescent="0.2">
      <c r="C824"/>
      <c r="M824"/>
    </row>
    <row r="825" spans="3:13" ht="12.75" customHeight="1" x14ac:dyDescent="0.2">
      <c r="C825"/>
      <c r="M825"/>
    </row>
    <row r="826" spans="3:13" ht="12.75" customHeight="1" x14ac:dyDescent="0.2">
      <c r="C826"/>
      <c r="M826"/>
    </row>
    <row r="827" spans="3:13" ht="12.75" customHeight="1" x14ac:dyDescent="0.2">
      <c r="C827"/>
      <c r="M827"/>
    </row>
    <row r="828" spans="3:13" ht="12.75" customHeight="1" x14ac:dyDescent="0.2">
      <c r="C828"/>
      <c r="M828"/>
    </row>
    <row r="829" spans="3:13" ht="12.75" customHeight="1" x14ac:dyDescent="0.2">
      <c r="C829"/>
      <c r="M829"/>
    </row>
    <row r="830" spans="3:13" ht="12.75" customHeight="1" x14ac:dyDescent="0.2">
      <c r="C830"/>
      <c r="M830"/>
    </row>
    <row r="831" spans="3:13" ht="12.75" customHeight="1" x14ac:dyDescent="0.2">
      <c r="C831"/>
      <c r="M831"/>
    </row>
    <row r="832" spans="3:13" ht="12.75" customHeight="1" x14ac:dyDescent="0.2">
      <c r="C832"/>
      <c r="M832"/>
    </row>
    <row r="833" spans="3:13" ht="12.75" customHeight="1" x14ac:dyDescent="0.2">
      <c r="C833"/>
      <c r="M833"/>
    </row>
    <row r="834" spans="3:13" ht="12.75" customHeight="1" x14ac:dyDescent="0.2">
      <c r="C834"/>
      <c r="M834"/>
    </row>
    <row r="835" spans="3:13" ht="12.75" customHeight="1" x14ac:dyDescent="0.2">
      <c r="C835"/>
      <c r="M835"/>
    </row>
    <row r="836" spans="3:13" ht="12.75" customHeight="1" x14ac:dyDescent="0.2">
      <c r="C836"/>
      <c r="M836"/>
    </row>
    <row r="837" spans="3:13" ht="12.75" customHeight="1" x14ac:dyDescent="0.2">
      <c r="C837"/>
      <c r="M837"/>
    </row>
    <row r="838" spans="3:13" ht="12.75" customHeight="1" x14ac:dyDescent="0.2">
      <c r="C838"/>
      <c r="M838"/>
    </row>
    <row r="839" spans="3:13" ht="12.75" customHeight="1" x14ac:dyDescent="0.2">
      <c r="C839"/>
      <c r="M839"/>
    </row>
    <row r="840" spans="3:13" ht="12.75" customHeight="1" x14ac:dyDescent="0.2">
      <c r="C840"/>
      <c r="M840"/>
    </row>
    <row r="841" spans="3:13" ht="12.75" customHeight="1" x14ac:dyDescent="0.2">
      <c r="C841"/>
      <c r="M841"/>
    </row>
    <row r="842" spans="3:13" ht="12.75" customHeight="1" x14ac:dyDescent="0.2">
      <c r="C842"/>
      <c r="M842"/>
    </row>
    <row r="843" spans="3:13" ht="12.75" customHeight="1" x14ac:dyDescent="0.2">
      <c r="C843"/>
      <c r="M843"/>
    </row>
    <row r="844" spans="3:13" ht="12.75" customHeight="1" x14ac:dyDescent="0.2">
      <c r="C844"/>
      <c r="M844"/>
    </row>
    <row r="845" spans="3:13" ht="12.75" customHeight="1" x14ac:dyDescent="0.2">
      <c r="C845"/>
      <c r="M845"/>
    </row>
    <row r="846" spans="3:13" ht="12.75" customHeight="1" x14ac:dyDescent="0.2">
      <c r="C846"/>
      <c r="M846"/>
    </row>
    <row r="847" spans="3:13" ht="12.75" customHeight="1" x14ac:dyDescent="0.2">
      <c r="C847"/>
      <c r="M847"/>
    </row>
    <row r="848" spans="3:13" ht="12.75" customHeight="1" x14ac:dyDescent="0.2">
      <c r="C848"/>
      <c r="M848"/>
    </row>
    <row r="849" spans="3:13" ht="12.75" customHeight="1" x14ac:dyDescent="0.2">
      <c r="C849"/>
      <c r="M849"/>
    </row>
    <row r="850" spans="3:13" ht="12.75" customHeight="1" x14ac:dyDescent="0.2">
      <c r="C850"/>
      <c r="M850"/>
    </row>
    <row r="851" spans="3:13" ht="12.75" customHeight="1" x14ac:dyDescent="0.2">
      <c r="C851"/>
      <c r="M851"/>
    </row>
    <row r="852" spans="3:13" ht="12.75" customHeight="1" x14ac:dyDescent="0.2">
      <c r="C852"/>
      <c r="M852"/>
    </row>
    <row r="853" spans="3:13" ht="12.75" customHeight="1" x14ac:dyDescent="0.2">
      <c r="C853"/>
      <c r="M853"/>
    </row>
    <row r="854" spans="3:13" ht="12.75" customHeight="1" x14ac:dyDescent="0.2">
      <c r="C854"/>
      <c r="M854"/>
    </row>
    <row r="855" spans="3:13" ht="12.75" customHeight="1" x14ac:dyDescent="0.2">
      <c r="C855"/>
      <c r="M855"/>
    </row>
    <row r="856" spans="3:13" ht="12.75" customHeight="1" x14ac:dyDescent="0.2">
      <c r="C856"/>
      <c r="M856"/>
    </row>
    <row r="857" spans="3:13" ht="12.75" customHeight="1" x14ac:dyDescent="0.2">
      <c r="C857"/>
      <c r="M857"/>
    </row>
    <row r="858" spans="3:13" ht="12.75" customHeight="1" x14ac:dyDescent="0.2">
      <c r="C858"/>
      <c r="M858"/>
    </row>
    <row r="859" spans="3:13" ht="12.75" customHeight="1" x14ac:dyDescent="0.2">
      <c r="C859"/>
      <c r="M859"/>
    </row>
    <row r="860" spans="3:13" ht="12.75" customHeight="1" x14ac:dyDescent="0.2">
      <c r="C860"/>
      <c r="M860"/>
    </row>
    <row r="861" spans="3:13" ht="12.75" customHeight="1" x14ac:dyDescent="0.2">
      <c r="C861"/>
      <c r="M861"/>
    </row>
    <row r="862" spans="3:13" ht="12.75" customHeight="1" x14ac:dyDescent="0.2">
      <c r="C862"/>
      <c r="M862"/>
    </row>
    <row r="863" spans="3:13" ht="12.75" customHeight="1" x14ac:dyDescent="0.2">
      <c r="C863"/>
      <c r="M863"/>
    </row>
    <row r="864" spans="3:13" ht="12.75" customHeight="1" x14ac:dyDescent="0.2">
      <c r="C864"/>
      <c r="M864"/>
    </row>
    <row r="865" spans="3:13" ht="12.75" customHeight="1" x14ac:dyDescent="0.2">
      <c r="C865"/>
      <c r="M865"/>
    </row>
    <row r="866" spans="3:13" ht="12.75" customHeight="1" x14ac:dyDescent="0.2">
      <c r="C866"/>
      <c r="M866"/>
    </row>
    <row r="867" spans="3:13" ht="12.75" customHeight="1" x14ac:dyDescent="0.2">
      <c r="C867"/>
      <c r="M867"/>
    </row>
    <row r="868" spans="3:13" ht="12.75" customHeight="1" x14ac:dyDescent="0.2">
      <c r="C868"/>
      <c r="M868"/>
    </row>
    <row r="869" spans="3:13" ht="12.75" customHeight="1" x14ac:dyDescent="0.2">
      <c r="C869"/>
      <c r="M869"/>
    </row>
    <row r="870" spans="3:13" ht="12.75" customHeight="1" x14ac:dyDescent="0.2">
      <c r="C870"/>
      <c r="M870"/>
    </row>
    <row r="871" spans="3:13" ht="12.75" customHeight="1" x14ac:dyDescent="0.2">
      <c r="C871"/>
      <c r="M871"/>
    </row>
    <row r="872" spans="3:13" ht="12.75" customHeight="1" x14ac:dyDescent="0.2">
      <c r="C872"/>
      <c r="M872"/>
    </row>
    <row r="873" spans="3:13" ht="12.75" customHeight="1" x14ac:dyDescent="0.2">
      <c r="C873"/>
      <c r="M873"/>
    </row>
    <row r="874" spans="3:13" ht="12.75" customHeight="1" x14ac:dyDescent="0.2">
      <c r="C874"/>
      <c r="M874"/>
    </row>
    <row r="875" spans="3:13" ht="12.75" customHeight="1" x14ac:dyDescent="0.2">
      <c r="C875"/>
      <c r="M875"/>
    </row>
    <row r="876" spans="3:13" ht="12.75" customHeight="1" x14ac:dyDescent="0.2">
      <c r="C876"/>
      <c r="M876"/>
    </row>
    <row r="877" spans="3:13" ht="12.75" customHeight="1" x14ac:dyDescent="0.2">
      <c r="C877"/>
      <c r="M877"/>
    </row>
    <row r="878" spans="3:13" ht="12.75" customHeight="1" x14ac:dyDescent="0.2">
      <c r="C878"/>
      <c r="M878"/>
    </row>
    <row r="879" spans="3:13" ht="12.75" customHeight="1" x14ac:dyDescent="0.2">
      <c r="C879"/>
      <c r="M879"/>
    </row>
    <row r="880" spans="3:13" ht="12.75" customHeight="1" x14ac:dyDescent="0.2">
      <c r="C880"/>
      <c r="M880"/>
    </row>
    <row r="881" spans="3:13" ht="12.75" customHeight="1" x14ac:dyDescent="0.2">
      <c r="C881"/>
      <c r="M881"/>
    </row>
    <row r="882" spans="3:13" ht="12.75" customHeight="1" x14ac:dyDescent="0.2">
      <c r="C882"/>
      <c r="M882"/>
    </row>
    <row r="883" spans="3:13" ht="12.75" customHeight="1" x14ac:dyDescent="0.2">
      <c r="C883"/>
      <c r="M883"/>
    </row>
    <row r="884" spans="3:13" ht="12.75" customHeight="1" x14ac:dyDescent="0.2">
      <c r="C884"/>
      <c r="M884"/>
    </row>
    <row r="885" spans="3:13" ht="12.75" customHeight="1" x14ac:dyDescent="0.2">
      <c r="C885"/>
      <c r="M885"/>
    </row>
    <row r="886" spans="3:13" ht="12.75" customHeight="1" x14ac:dyDescent="0.2">
      <c r="C886"/>
      <c r="M886"/>
    </row>
    <row r="887" spans="3:13" ht="12.75" customHeight="1" x14ac:dyDescent="0.2">
      <c r="C887"/>
      <c r="M887"/>
    </row>
    <row r="888" spans="3:13" ht="12.75" customHeight="1" x14ac:dyDescent="0.2">
      <c r="C888"/>
      <c r="M888"/>
    </row>
    <row r="889" spans="3:13" ht="12.75" customHeight="1" x14ac:dyDescent="0.2">
      <c r="C889"/>
      <c r="M889"/>
    </row>
    <row r="890" spans="3:13" ht="12.75" customHeight="1" x14ac:dyDescent="0.2">
      <c r="C890"/>
      <c r="M890"/>
    </row>
    <row r="891" spans="3:13" ht="12.75" customHeight="1" x14ac:dyDescent="0.2">
      <c r="C891"/>
      <c r="M891"/>
    </row>
    <row r="892" spans="3:13" ht="12.75" customHeight="1" x14ac:dyDescent="0.2">
      <c r="C892"/>
      <c r="M892"/>
    </row>
    <row r="893" spans="3:13" ht="12.75" customHeight="1" x14ac:dyDescent="0.2">
      <c r="C893"/>
      <c r="M893"/>
    </row>
    <row r="894" spans="3:13" ht="12.75" customHeight="1" x14ac:dyDescent="0.2">
      <c r="C894"/>
      <c r="M894"/>
    </row>
    <row r="895" spans="3:13" ht="12.75" customHeight="1" x14ac:dyDescent="0.2">
      <c r="C895"/>
      <c r="M895"/>
    </row>
    <row r="896" spans="3:13" ht="12.75" customHeight="1" x14ac:dyDescent="0.2">
      <c r="C896"/>
      <c r="M896"/>
    </row>
    <row r="897" spans="3:13" ht="12.75" customHeight="1" x14ac:dyDescent="0.2">
      <c r="C897"/>
      <c r="M897"/>
    </row>
    <row r="898" spans="3:13" ht="12.75" customHeight="1" x14ac:dyDescent="0.2">
      <c r="C898"/>
      <c r="M898"/>
    </row>
    <row r="899" spans="3:13" ht="12.75" customHeight="1" x14ac:dyDescent="0.2">
      <c r="C899"/>
      <c r="M899"/>
    </row>
    <row r="900" spans="3:13" ht="12.75" customHeight="1" x14ac:dyDescent="0.2">
      <c r="C900"/>
      <c r="M900"/>
    </row>
    <row r="901" spans="3:13" ht="12.75" customHeight="1" x14ac:dyDescent="0.2">
      <c r="C901"/>
      <c r="M901"/>
    </row>
    <row r="902" spans="3:13" ht="12.75" customHeight="1" x14ac:dyDescent="0.2">
      <c r="C902"/>
      <c r="M902"/>
    </row>
    <row r="903" spans="3:13" ht="12.75" customHeight="1" x14ac:dyDescent="0.2">
      <c r="C903"/>
      <c r="M903"/>
    </row>
    <row r="904" spans="3:13" ht="12.75" customHeight="1" x14ac:dyDescent="0.2">
      <c r="C904"/>
      <c r="M904"/>
    </row>
    <row r="905" spans="3:13" ht="12.75" customHeight="1" x14ac:dyDescent="0.2">
      <c r="C905"/>
      <c r="M905"/>
    </row>
    <row r="906" spans="3:13" ht="12.75" customHeight="1" x14ac:dyDescent="0.2">
      <c r="C906"/>
      <c r="M906"/>
    </row>
    <row r="907" spans="3:13" ht="12.75" customHeight="1" x14ac:dyDescent="0.2">
      <c r="C907"/>
      <c r="M907"/>
    </row>
    <row r="908" spans="3:13" ht="12.75" customHeight="1" x14ac:dyDescent="0.2">
      <c r="C908"/>
      <c r="M908"/>
    </row>
    <row r="909" spans="3:13" ht="12.75" customHeight="1" x14ac:dyDescent="0.2">
      <c r="C909"/>
      <c r="M909"/>
    </row>
    <row r="910" spans="3:13" ht="12.75" customHeight="1" x14ac:dyDescent="0.2">
      <c r="C910"/>
      <c r="M910"/>
    </row>
    <row r="911" spans="3:13" ht="12.75" customHeight="1" x14ac:dyDescent="0.2">
      <c r="C911"/>
      <c r="M911"/>
    </row>
    <row r="912" spans="3:13" ht="12.75" customHeight="1" x14ac:dyDescent="0.2">
      <c r="C912"/>
      <c r="M912"/>
    </row>
    <row r="913" spans="3:13" ht="12.75" customHeight="1" x14ac:dyDescent="0.2">
      <c r="C913"/>
      <c r="M913"/>
    </row>
    <row r="914" spans="3:13" ht="12.75" customHeight="1" x14ac:dyDescent="0.2">
      <c r="C914"/>
      <c r="M914"/>
    </row>
    <row r="915" spans="3:13" ht="12.75" customHeight="1" x14ac:dyDescent="0.2">
      <c r="C915"/>
      <c r="M915"/>
    </row>
    <row r="916" spans="3:13" ht="12.75" customHeight="1" x14ac:dyDescent="0.2">
      <c r="C916"/>
      <c r="M916"/>
    </row>
    <row r="917" spans="3:13" ht="12.75" customHeight="1" x14ac:dyDescent="0.2">
      <c r="C917"/>
      <c r="M917"/>
    </row>
    <row r="918" spans="3:13" ht="12.75" customHeight="1" x14ac:dyDescent="0.2">
      <c r="C918"/>
      <c r="M918"/>
    </row>
    <row r="919" spans="3:13" ht="12.75" customHeight="1" x14ac:dyDescent="0.2">
      <c r="C919"/>
      <c r="M919"/>
    </row>
    <row r="920" spans="3:13" ht="12.75" customHeight="1" x14ac:dyDescent="0.2">
      <c r="C920"/>
      <c r="M920"/>
    </row>
    <row r="921" spans="3:13" ht="12.75" customHeight="1" x14ac:dyDescent="0.2">
      <c r="C921"/>
      <c r="M921"/>
    </row>
    <row r="922" spans="3:13" ht="12.75" customHeight="1" x14ac:dyDescent="0.2">
      <c r="C922"/>
      <c r="M922"/>
    </row>
    <row r="923" spans="3:13" ht="12.75" customHeight="1" x14ac:dyDescent="0.2">
      <c r="C923"/>
      <c r="M923"/>
    </row>
    <row r="924" spans="3:13" ht="12.75" customHeight="1" x14ac:dyDescent="0.2">
      <c r="C924"/>
      <c r="M924"/>
    </row>
    <row r="925" spans="3:13" ht="12.75" customHeight="1" x14ac:dyDescent="0.2">
      <c r="C925"/>
      <c r="M925"/>
    </row>
    <row r="926" spans="3:13" ht="12.75" customHeight="1" x14ac:dyDescent="0.2">
      <c r="C926"/>
      <c r="M926"/>
    </row>
    <row r="927" spans="3:13" ht="12.75" customHeight="1" x14ac:dyDescent="0.2">
      <c r="C927"/>
      <c r="M927"/>
    </row>
    <row r="928" spans="3:13" ht="12.75" customHeight="1" x14ac:dyDescent="0.2">
      <c r="C928"/>
      <c r="M928"/>
    </row>
    <row r="929" spans="3:13" ht="12.75" customHeight="1" x14ac:dyDescent="0.2">
      <c r="C929"/>
      <c r="M929"/>
    </row>
    <row r="930" spans="3:13" ht="12.75" customHeight="1" x14ac:dyDescent="0.2">
      <c r="C930"/>
      <c r="M930"/>
    </row>
    <row r="931" spans="3:13" ht="12.75" customHeight="1" x14ac:dyDescent="0.2">
      <c r="C931"/>
      <c r="M931"/>
    </row>
    <row r="932" spans="3:13" ht="12.75" customHeight="1" x14ac:dyDescent="0.2">
      <c r="C932"/>
      <c r="M932"/>
    </row>
    <row r="933" spans="3:13" ht="12.75" customHeight="1" x14ac:dyDescent="0.2">
      <c r="C933"/>
      <c r="M933"/>
    </row>
    <row r="934" spans="3:13" ht="12.75" customHeight="1" x14ac:dyDescent="0.2">
      <c r="C934"/>
      <c r="M934"/>
    </row>
    <row r="935" spans="3:13" ht="12.75" customHeight="1" x14ac:dyDescent="0.2">
      <c r="C935"/>
      <c r="M935"/>
    </row>
    <row r="936" spans="3:13" ht="12.75" customHeight="1" x14ac:dyDescent="0.2">
      <c r="C936"/>
      <c r="M936"/>
    </row>
    <row r="937" spans="3:13" ht="12.75" customHeight="1" x14ac:dyDescent="0.2">
      <c r="C937"/>
      <c r="M937"/>
    </row>
    <row r="938" spans="3:13" ht="12.75" customHeight="1" x14ac:dyDescent="0.2">
      <c r="C938"/>
      <c r="M938"/>
    </row>
    <row r="939" spans="3:13" ht="12.75" customHeight="1" x14ac:dyDescent="0.2">
      <c r="C939"/>
      <c r="M939"/>
    </row>
    <row r="940" spans="3:13" ht="12.75" customHeight="1" x14ac:dyDescent="0.2">
      <c r="C940"/>
      <c r="M940"/>
    </row>
    <row r="941" spans="3:13" ht="12.75" customHeight="1" x14ac:dyDescent="0.2">
      <c r="C941"/>
      <c r="M941"/>
    </row>
    <row r="942" spans="3:13" ht="12.75" customHeight="1" x14ac:dyDescent="0.2">
      <c r="C942"/>
      <c r="M942"/>
    </row>
    <row r="943" spans="3:13" ht="12.75" customHeight="1" x14ac:dyDescent="0.2">
      <c r="C943"/>
      <c r="M943"/>
    </row>
    <row r="944" spans="3:13" ht="12.75" customHeight="1" x14ac:dyDescent="0.2">
      <c r="C944"/>
      <c r="M944"/>
    </row>
    <row r="945" spans="3:13" ht="12.75" customHeight="1" x14ac:dyDescent="0.2">
      <c r="C945"/>
      <c r="M945"/>
    </row>
    <row r="946" spans="3:13" ht="12.75" customHeight="1" x14ac:dyDescent="0.2">
      <c r="C946"/>
      <c r="M946"/>
    </row>
    <row r="947" spans="3:13" ht="12.75" customHeight="1" x14ac:dyDescent="0.2">
      <c r="C947"/>
      <c r="M947"/>
    </row>
    <row r="948" spans="3:13" ht="12.75" customHeight="1" x14ac:dyDescent="0.2">
      <c r="C948"/>
      <c r="M948"/>
    </row>
    <row r="949" spans="3:13" ht="12.75" customHeight="1" x14ac:dyDescent="0.2">
      <c r="C949"/>
      <c r="M949"/>
    </row>
    <row r="950" spans="3:13" ht="12.75" customHeight="1" x14ac:dyDescent="0.2">
      <c r="C950"/>
      <c r="M950"/>
    </row>
    <row r="951" spans="3:13" ht="12.75" customHeight="1" x14ac:dyDescent="0.2">
      <c r="C951"/>
      <c r="M951"/>
    </row>
    <row r="952" spans="3:13" ht="12.75" customHeight="1" x14ac:dyDescent="0.2">
      <c r="C952"/>
      <c r="M952"/>
    </row>
    <row r="953" spans="3:13" ht="12.75" customHeight="1" x14ac:dyDescent="0.2">
      <c r="C953"/>
      <c r="M953"/>
    </row>
    <row r="954" spans="3:13" ht="12.75" customHeight="1" x14ac:dyDescent="0.2">
      <c r="C954"/>
      <c r="M954"/>
    </row>
    <row r="955" spans="3:13" ht="12.75" customHeight="1" x14ac:dyDescent="0.2">
      <c r="C955"/>
      <c r="M955"/>
    </row>
    <row r="956" spans="3:13" ht="12.75" customHeight="1" x14ac:dyDescent="0.2">
      <c r="C956"/>
      <c r="M956"/>
    </row>
    <row r="957" spans="3:13" ht="12.75" customHeight="1" x14ac:dyDescent="0.2">
      <c r="C957"/>
      <c r="M957"/>
    </row>
    <row r="958" spans="3:13" ht="12.75" customHeight="1" x14ac:dyDescent="0.2">
      <c r="C958"/>
      <c r="M958"/>
    </row>
    <row r="959" spans="3:13" ht="12.75" customHeight="1" x14ac:dyDescent="0.2">
      <c r="C959"/>
      <c r="M959"/>
    </row>
    <row r="960" spans="3:13" ht="12.75" customHeight="1" x14ac:dyDescent="0.2">
      <c r="C960"/>
      <c r="M960"/>
    </row>
    <row r="961" spans="3:13" ht="12.75" customHeight="1" x14ac:dyDescent="0.2">
      <c r="C961"/>
      <c r="M961"/>
    </row>
    <row r="962" spans="3:13" ht="12.75" customHeight="1" x14ac:dyDescent="0.2">
      <c r="C962"/>
      <c r="M962"/>
    </row>
    <row r="963" spans="3:13" ht="12.75" customHeight="1" x14ac:dyDescent="0.2">
      <c r="C963"/>
      <c r="M963"/>
    </row>
    <row r="964" spans="3:13" ht="12.75" customHeight="1" x14ac:dyDescent="0.2">
      <c r="C964"/>
      <c r="M964"/>
    </row>
    <row r="965" spans="3:13" ht="12.75" customHeight="1" x14ac:dyDescent="0.2">
      <c r="C965"/>
      <c r="M965"/>
    </row>
    <row r="966" spans="3:13" ht="12.75" customHeight="1" x14ac:dyDescent="0.2">
      <c r="C966"/>
      <c r="M966"/>
    </row>
    <row r="967" spans="3:13" ht="12.75" customHeight="1" x14ac:dyDescent="0.2">
      <c r="C967"/>
      <c r="M967"/>
    </row>
    <row r="968" spans="3:13" ht="12.75" customHeight="1" x14ac:dyDescent="0.2">
      <c r="C968"/>
      <c r="M968"/>
    </row>
    <row r="969" spans="3:13" ht="12.75" customHeight="1" x14ac:dyDescent="0.2">
      <c r="C969"/>
      <c r="M969"/>
    </row>
    <row r="970" spans="3:13" ht="12.75" customHeight="1" x14ac:dyDescent="0.2">
      <c r="C970"/>
      <c r="M970"/>
    </row>
    <row r="971" spans="3:13" ht="12.75" customHeight="1" x14ac:dyDescent="0.2">
      <c r="C971"/>
      <c r="M971"/>
    </row>
    <row r="972" spans="3:13" ht="12.75" customHeight="1" x14ac:dyDescent="0.2">
      <c r="C972"/>
      <c r="M972"/>
    </row>
    <row r="973" spans="3:13" ht="12.75" customHeight="1" x14ac:dyDescent="0.2">
      <c r="C973"/>
      <c r="M973"/>
    </row>
    <row r="974" spans="3:13" ht="12.75" customHeight="1" x14ac:dyDescent="0.2">
      <c r="C974"/>
      <c r="M974"/>
    </row>
    <row r="975" spans="3:13" ht="12.75" customHeight="1" x14ac:dyDescent="0.2">
      <c r="C975"/>
      <c r="M975"/>
    </row>
    <row r="976" spans="3:13" ht="12.75" customHeight="1" x14ac:dyDescent="0.2">
      <c r="C976"/>
      <c r="M976"/>
    </row>
    <row r="977" spans="3:13" ht="12.75" customHeight="1" x14ac:dyDescent="0.2">
      <c r="C977"/>
      <c r="M977"/>
    </row>
    <row r="978" spans="3:13" ht="12.75" customHeight="1" x14ac:dyDescent="0.2">
      <c r="C978"/>
      <c r="M978"/>
    </row>
    <row r="979" spans="3:13" ht="12.75" customHeight="1" x14ac:dyDescent="0.2">
      <c r="C979"/>
      <c r="M979"/>
    </row>
    <row r="980" spans="3:13" ht="12.75" customHeight="1" x14ac:dyDescent="0.2">
      <c r="C980"/>
      <c r="M980"/>
    </row>
    <row r="981" spans="3:13" ht="12.75" customHeight="1" x14ac:dyDescent="0.2">
      <c r="C981"/>
      <c r="M981"/>
    </row>
    <row r="982" spans="3:13" ht="12.75" customHeight="1" x14ac:dyDescent="0.2">
      <c r="C982"/>
      <c r="M982"/>
    </row>
    <row r="983" spans="3:13" ht="12.75" customHeight="1" x14ac:dyDescent="0.2">
      <c r="C983"/>
      <c r="M983"/>
    </row>
    <row r="984" spans="3:13" ht="12.75" customHeight="1" x14ac:dyDescent="0.2">
      <c r="C984"/>
      <c r="M984"/>
    </row>
    <row r="985" spans="3:13" ht="12.75" customHeight="1" x14ac:dyDescent="0.2">
      <c r="C985"/>
      <c r="M985"/>
    </row>
    <row r="986" spans="3:13" ht="12.75" customHeight="1" x14ac:dyDescent="0.2">
      <c r="C986"/>
      <c r="M986"/>
    </row>
    <row r="987" spans="3:13" ht="12.75" customHeight="1" x14ac:dyDescent="0.2">
      <c r="C987"/>
      <c r="M987"/>
    </row>
    <row r="988" spans="3:13" ht="12.75" customHeight="1" x14ac:dyDescent="0.2">
      <c r="C988"/>
      <c r="M988"/>
    </row>
    <row r="989" spans="3:13" ht="12.75" customHeight="1" x14ac:dyDescent="0.2">
      <c r="C989"/>
      <c r="M989"/>
    </row>
    <row r="990" spans="3:13" ht="12.75" customHeight="1" x14ac:dyDescent="0.2">
      <c r="C990"/>
      <c r="M990"/>
    </row>
    <row r="991" spans="3:13" ht="12.75" customHeight="1" x14ac:dyDescent="0.2">
      <c r="C991"/>
      <c r="M991"/>
    </row>
    <row r="992" spans="3:13" ht="12.75" customHeight="1" x14ac:dyDescent="0.2">
      <c r="C992"/>
      <c r="M992"/>
    </row>
    <row r="993" spans="3:13" ht="12.75" customHeight="1" x14ac:dyDescent="0.2">
      <c r="C993"/>
      <c r="M993"/>
    </row>
    <row r="994" spans="3:13" ht="12.75" customHeight="1" x14ac:dyDescent="0.2">
      <c r="C994"/>
      <c r="M994"/>
    </row>
    <row r="995" spans="3:13" ht="12.75" customHeight="1" x14ac:dyDescent="0.2">
      <c r="C995"/>
      <c r="M995"/>
    </row>
    <row r="996" spans="3:13" ht="12.75" customHeight="1" x14ac:dyDescent="0.2">
      <c r="C996"/>
      <c r="M996"/>
    </row>
    <row r="997" spans="3:13" ht="12.75" customHeight="1" x14ac:dyDescent="0.2">
      <c r="C997"/>
      <c r="M997"/>
    </row>
    <row r="998" spans="3:13" ht="12.75" customHeight="1" x14ac:dyDescent="0.2">
      <c r="C998"/>
      <c r="M998"/>
    </row>
    <row r="999" spans="3:13" ht="12.75" customHeight="1" x14ac:dyDescent="0.2">
      <c r="C999"/>
      <c r="M999"/>
    </row>
    <row r="1000" spans="3:13" ht="12.75" customHeight="1" x14ac:dyDescent="0.2">
      <c r="C1000"/>
      <c r="M1000"/>
    </row>
    <row r="1001" spans="3:13" ht="12.75" customHeight="1" x14ac:dyDescent="0.2">
      <c r="C1001"/>
      <c r="M1001"/>
    </row>
    <row r="1002" spans="3:13" ht="12.75" customHeight="1" x14ac:dyDescent="0.2">
      <c r="C1002"/>
      <c r="M1002"/>
    </row>
    <row r="1003" spans="3:13" ht="12.75" customHeight="1" x14ac:dyDescent="0.2">
      <c r="C1003"/>
      <c r="M1003"/>
    </row>
    <row r="1004" spans="3:13" ht="12.75" customHeight="1" x14ac:dyDescent="0.2">
      <c r="C1004"/>
      <c r="M1004"/>
    </row>
    <row r="1005" spans="3:13" ht="12.75" customHeight="1" x14ac:dyDescent="0.2">
      <c r="C1005"/>
      <c r="M1005"/>
    </row>
    <row r="1006" spans="3:13" ht="12.75" customHeight="1" x14ac:dyDescent="0.2">
      <c r="C1006"/>
      <c r="M1006"/>
    </row>
    <row r="1007" spans="3:13" ht="12.75" customHeight="1" x14ac:dyDescent="0.2">
      <c r="C1007"/>
      <c r="M1007"/>
    </row>
    <row r="1008" spans="3:13" ht="12.75" customHeight="1" x14ac:dyDescent="0.2">
      <c r="C1008"/>
      <c r="M1008"/>
    </row>
    <row r="1009" spans="3:13" ht="12.75" customHeight="1" x14ac:dyDescent="0.2">
      <c r="C1009"/>
      <c r="M1009"/>
    </row>
    <row r="1010" spans="3:13" ht="12.75" customHeight="1" x14ac:dyDescent="0.2">
      <c r="C1010"/>
      <c r="M1010"/>
    </row>
    <row r="1011" spans="3:13" ht="12.75" customHeight="1" x14ac:dyDescent="0.2">
      <c r="C1011"/>
      <c r="M1011"/>
    </row>
    <row r="1012" spans="3:13" ht="12.75" customHeight="1" x14ac:dyDescent="0.2">
      <c r="C1012"/>
      <c r="M1012"/>
    </row>
    <row r="1013" spans="3:13" ht="12.75" customHeight="1" x14ac:dyDescent="0.2">
      <c r="C1013"/>
      <c r="M1013"/>
    </row>
    <row r="1014" spans="3:13" ht="12.75" customHeight="1" x14ac:dyDescent="0.2">
      <c r="C1014"/>
      <c r="M1014"/>
    </row>
    <row r="1015" spans="3:13" ht="12.75" customHeight="1" x14ac:dyDescent="0.2">
      <c r="C1015"/>
      <c r="M1015"/>
    </row>
    <row r="1016" spans="3:13" ht="12.75" customHeight="1" x14ac:dyDescent="0.2">
      <c r="C1016"/>
      <c r="M1016"/>
    </row>
    <row r="1017" spans="3:13" ht="12.75" customHeight="1" x14ac:dyDescent="0.2">
      <c r="C1017"/>
      <c r="M1017"/>
    </row>
    <row r="1018" spans="3:13" ht="12.75" customHeight="1" x14ac:dyDescent="0.2">
      <c r="C1018"/>
      <c r="M1018"/>
    </row>
    <row r="1019" spans="3:13" ht="12.75" customHeight="1" x14ac:dyDescent="0.2">
      <c r="C1019"/>
      <c r="M1019"/>
    </row>
    <row r="1020" spans="3:13" ht="12.75" customHeight="1" x14ac:dyDescent="0.2">
      <c r="C1020"/>
      <c r="M1020"/>
    </row>
    <row r="1021" spans="3:13" ht="12.75" customHeight="1" x14ac:dyDescent="0.2">
      <c r="C1021"/>
      <c r="M1021"/>
    </row>
    <row r="1022" spans="3:13" ht="12.75" customHeight="1" x14ac:dyDescent="0.2">
      <c r="C1022"/>
      <c r="M1022"/>
    </row>
    <row r="1023" spans="3:13" ht="12.75" customHeight="1" x14ac:dyDescent="0.2">
      <c r="C1023"/>
      <c r="M1023"/>
    </row>
    <row r="1024" spans="3:13" ht="12.75" customHeight="1" x14ac:dyDescent="0.2">
      <c r="C1024"/>
      <c r="M1024"/>
    </row>
    <row r="1025" spans="3:13" ht="12.75" customHeight="1" x14ac:dyDescent="0.2">
      <c r="C1025"/>
      <c r="M1025"/>
    </row>
    <row r="1026" spans="3:13" ht="12.75" customHeight="1" x14ac:dyDescent="0.2">
      <c r="C1026"/>
      <c r="M1026"/>
    </row>
    <row r="1027" spans="3:13" ht="12.75" customHeight="1" x14ac:dyDescent="0.2">
      <c r="C1027"/>
      <c r="M1027"/>
    </row>
    <row r="1028" spans="3:13" ht="12.75" customHeight="1" x14ac:dyDescent="0.2">
      <c r="C1028"/>
      <c r="M1028"/>
    </row>
    <row r="1029" spans="3:13" ht="12.75" customHeight="1" x14ac:dyDescent="0.2">
      <c r="C1029"/>
      <c r="M1029"/>
    </row>
    <row r="1030" spans="3:13" ht="12.75" customHeight="1" x14ac:dyDescent="0.2">
      <c r="C1030"/>
      <c r="M1030"/>
    </row>
    <row r="1031" spans="3:13" ht="12.75" customHeight="1" x14ac:dyDescent="0.2">
      <c r="C1031"/>
      <c r="M1031"/>
    </row>
    <row r="1032" spans="3:13" ht="12.75" customHeight="1" x14ac:dyDescent="0.2">
      <c r="C1032"/>
      <c r="M1032"/>
    </row>
    <row r="1033" spans="3:13" ht="12.75" customHeight="1" x14ac:dyDescent="0.2">
      <c r="C1033"/>
      <c r="M1033"/>
    </row>
    <row r="1034" spans="3:13" ht="12.75" customHeight="1" x14ac:dyDescent="0.2">
      <c r="C1034"/>
      <c r="M1034"/>
    </row>
    <row r="1035" spans="3:13" ht="12.75" customHeight="1" x14ac:dyDescent="0.2">
      <c r="C1035"/>
      <c r="M1035"/>
    </row>
    <row r="1036" spans="3:13" ht="12.75" customHeight="1" x14ac:dyDescent="0.2">
      <c r="C1036"/>
      <c r="M1036"/>
    </row>
    <row r="1037" spans="3:13" ht="12.75" customHeight="1" x14ac:dyDescent="0.2">
      <c r="C1037"/>
      <c r="M1037"/>
    </row>
    <row r="1038" spans="3:13" ht="12.75" customHeight="1" x14ac:dyDescent="0.2">
      <c r="C1038"/>
      <c r="M1038"/>
    </row>
    <row r="1039" spans="3:13" ht="12.75" customHeight="1" x14ac:dyDescent="0.2">
      <c r="C1039"/>
      <c r="M1039"/>
    </row>
    <row r="1040" spans="3:13" ht="12.75" customHeight="1" x14ac:dyDescent="0.2">
      <c r="C1040"/>
      <c r="M1040"/>
    </row>
    <row r="1041" spans="3:13" ht="12.75" customHeight="1" x14ac:dyDescent="0.2">
      <c r="C1041"/>
      <c r="M1041"/>
    </row>
    <row r="1042" spans="3:13" ht="12.75" customHeight="1" x14ac:dyDescent="0.2">
      <c r="C1042"/>
      <c r="M1042"/>
    </row>
    <row r="1043" spans="3:13" ht="12.75" customHeight="1" x14ac:dyDescent="0.2">
      <c r="C1043"/>
      <c r="M1043"/>
    </row>
    <row r="1044" spans="3:13" ht="12.75" customHeight="1" x14ac:dyDescent="0.2">
      <c r="C1044"/>
      <c r="M1044"/>
    </row>
    <row r="1045" spans="3:13" ht="12.75" customHeight="1" x14ac:dyDescent="0.2">
      <c r="C1045"/>
      <c r="M1045"/>
    </row>
    <row r="1046" spans="3:13" ht="12.75" customHeight="1" x14ac:dyDescent="0.2">
      <c r="C1046"/>
      <c r="M1046"/>
    </row>
    <row r="1047" spans="3:13" ht="12.75" customHeight="1" x14ac:dyDescent="0.2">
      <c r="C1047"/>
      <c r="M1047"/>
    </row>
    <row r="1048" spans="3:13" ht="12.75" customHeight="1" x14ac:dyDescent="0.2">
      <c r="C1048"/>
      <c r="M1048"/>
    </row>
    <row r="1049" spans="3:13" ht="12.75" customHeight="1" x14ac:dyDescent="0.2">
      <c r="C1049"/>
      <c r="M1049"/>
    </row>
    <row r="1050" spans="3:13" ht="12.75" customHeight="1" x14ac:dyDescent="0.2">
      <c r="C1050"/>
      <c r="M1050"/>
    </row>
    <row r="1051" spans="3:13" ht="12.75" customHeight="1" x14ac:dyDescent="0.2">
      <c r="C1051"/>
      <c r="M1051"/>
    </row>
    <row r="1052" spans="3:13" ht="12.75" customHeight="1" x14ac:dyDescent="0.2">
      <c r="C1052"/>
      <c r="M1052"/>
    </row>
    <row r="1053" spans="3:13" ht="12.75" customHeight="1" x14ac:dyDescent="0.2">
      <c r="C1053"/>
      <c r="M1053"/>
    </row>
    <row r="1054" spans="3:13" ht="12.75" customHeight="1" x14ac:dyDescent="0.2">
      <c r="C1054"/>
      <c r="M1054"/>
    </row>
    <row r="1055" spans="3:13" ht="12.75" customHeight="1" x14ac:dyDescent="0.2">
      <c r="C1055"/>
      <c r="M1055"/>
    </row>
    <row r="1056" spans="3:13" ht="12.75" customHeight="1" x14ac:dyDescent="0.2">
      <c r="C1056"/>
      <c r="M1056"/>
    </row>
    <row r="1057" spans="3:13" ht="12.75" customHeight="1" x14ac:dyDescent="0.2">
      <c r="C1057"/>
      <c r="M1057"/>
    </row>
    <row r="1058" spans="3:13" ht="12.75" customHeight="1" x14ac:dyDescent="0.2">
      <c r="C1058"/>
      <c r="M1058"/>
    </row>
    <row r="1059" spans="3:13" ht="12.75" customHeight="1" x14ac:dyDescent="0.2">
      <c r="C1059"/>
      <c r="M1059"/>
    </row>
    <row r="1060" spans="3:13" ht="12.75" customHeight="1" x14ac:dyDescent="0.2">
      <c r="C1060"/>
      <c r="M1060"/>
    </row>
    <row r="1061" spans="3:13" ht="12.75" customHeight="1" x14ac:dyDescent="0.2">
      <c r="C1061"/>
      <c r="M1061"/>
    </row>
    <row r="1062" spans="3:13" ht="12.75" customHeight="1" x14ac:dyDescent="0.2">
      <c r="C1062"/>
      <c r="M1062"/>
    </row>
    <row r="1063" spans="3:13" ht="12.75" customHeight="1" x14ac:dyDescent="0.2">
      <c r="C1063"/>
      <c r="M1063"/>
    </row>
    <row r="1064" spans="3:13" ht="12.75" customHeight="1" x14ac:dyDescent="0.2">
      <c r="C1064"/>
      <c r="M1064"/>
    </row>
    <row r="1065" spans="3:13" ht="12.75" customHeight="1" x14ac:dyDescent="0.2">
      <c r="C1065"/>
      <c r="M1065"/>
    </row>
    <row r="1066" spans="3:13" ht="12.75" customHeight="1" x14ac:dyDescent="0.2">
      <c r="C1066"/>
      <c r="M1066"/>
    </row>
    <row r="1067" spans="3:13" ht="12.75" customHeight="1" x14ac:dyDescent="0.2">
      <c r="C1067"/>
      <c r="M1067"/>
    </row>
    <row r="1068" spans="3:13" ht="12.75" customHeight="1" x14ac:dyDescent="0.2">
      <c r="C1068"/>
      <c r="M1068"/>
    </row>
    <row r="1069" spans="3:13" ht="12.75" customHeight="1" x14ac:dyDescent="0.2">
      <c r="C1069"/>
      <c r="M1069"/>
    </row>
    <row r="1070" spans="3:13" ht="12.75" customHeight="1" x14ac:dyDescent="0.2">
      <c r="C1070"/>
      <c r="M1070"/>
    </row>
    <row r="1071" spans="3:13" ht="12.75" customHeight="1" x14ac:dyDescent="0.2">
      <c r="C1071"/>
      <c r="M1071"/>
    </row>
    <row r="1072" spans="3:13" ht="12.75" customHeight="1" x14ac:dyDescent="0.2">
      <c r="C1072"/>
      <c r="M1072"/>
    </row>
    <row r="1073" spans="3:13" ht="12.75" customHeight="1" x14ac:dyDescent="0.2">
      <c r="C1073"/>
      <c r="M1073"/>
    </row>
    <row r="1074" spans="3:13" ht="12.75" customHeight="1" x14ac:dyDescent="0.2">
      <c r="C1074"/>
      <c r="M1074"/>
    </row>
    <row r="1075" spans="3:13" ht="12.75" customHeight="1" x14ac:dyDescent="0.2">
      <c r="C1075"/>
      <c r="M1075"/>
    </row>
    <row r="1076" spans="3:13" ht="12.75" customHeight="1" x14ac:dyDescent="0.2">
      <c r="C1076"/>
      <c r="M1076"/>
    </row>
    <row r="1077" spans="3:13" ht="12.75" customHeight="1" x14ac:dyDescent="0.2">
      <c r="C1077"/>
      <c r="M1077"/>
    </row>
    <row r="1078" spans="3:13" ht="12.75" customHeight="1" x14ac:dyDescent="0.2">
      <c r="C1078"/>
      <c r="M1078"/>
    </row>
    <row r="1079" spans="3:13" ht="12.75" customHeight="1" x14ac:dyDescent="0.2">
      <c r="C1079"/>
      <c r="M1079"/>
    </row>
    <row r="1080" spans="3:13" ht="12.75" customHeight="1" x14ac:dyDescent="0.2">
      <c r="C1080"/>
      <c r="M1080"/>
    </row>
    <row r="1081" spans="3:13" ht="12.75" customHeight="1" x14ac:dyDescent="0.2">
      <c r="C1081"/>
      <c r="M1081"/>
    </row>
    <row r="1082" spans="3:13" ht="12.75" customHeight="1" x14ac:dyDescent="0.2">
      <c r="C1082"/>
      <c r="M1082"/>
    </row>
    <row r="1083" spans="3:13" ht="12.75" customHeight="1" x14ac:dyDescent="0.2">
      <c r="C1083"/>
      <c r="M1083"/>
    </row>
    <row r="1084" spans="3:13" ht="12.75" customHeight="1" x14ac:dyDescent="0.2">
      <c r="C1084"/>
      <c r="M1084"/>
    </row>
    <row r="1085" spans="3:13" ht="12.75" customHeight="1" x14ac:dyDescent="0.2">
      <c r="C1085"/>
      <c r="M1085"/>
    </row>
    <row r="1086" spans="3:13" ht="12.75" customHeight="1" x14ac:dyDescent="0.2">
      <c r="C1086"/>
      <c r="M1086"/>
    </row>
    <row r="1087" spans="3:13" ht="12.75" customHeight="1" x14ac:dyDescent="0.2">
      <c r="C1087"/>
      <c r="M1087"/>
    </row>
    <row r="1088" spans="3:13" ht="12.75" customHeight="1" x14ac:dyDescent="0.2">
      <c r="C1088"/>
      <c r="M1088"/>
    </row>
    <row r="1089" spans="3:13" ht="12.75" customHeight="1" x14ac:dyDescent="0.2">
      <c r="C1089"/>
      <c r="M1089"/>
    </row>
    <row r="1090" spans="3:13" ht="12.75" customHeight="1" x14ac:dyDescent="0.2">
      <c r="C1090"/>
      <c r="M1090"/>
    </row>
    <row r="1091" spans="3:13" ht="12.75" customHeight="1" x14ac:dyDescent="0.2">
      <c r="C1091"/>
      <c r="M1091"/>
    </row>
    <row r="1092" spans="3:13" ht="12.75" customHeight="1" x14ac:dyDescent="0.2">
      <c r="C1092"/>
      <c r="M1092"/>
    </row>
    <row r="1093" spans="3:13" ht="12.75" customHeight="1" x14ac:dyDescent="0.2">
      <c r="C1093"/>
      <c r="M1093"/>
    </row>
    <row r="1094" spans="3:13" ht="12.75" customHeight="1" x14ac:dyDescent="0.2">
      <c r="C1094"/>
      <c r="M1094"/>
    </row>
    <row r="1095" spans="3:13" ht="12.75" customHeight="1" x14ac:dyDescent="0.2">
      <c r="C1095"/>
      <c r="M1095"/>
    </row>
    <row r="1096" spans="3:13" ht="12.75" customHeight="1" x14ac:dyDescent="0.2">
      <c r="C1096"/>
      <c r="M1096"/>
    </row>
    <row r="1097" spans="3:13" ht="12.75" customHeight="1" x14ac:dyDescent="0.2">
      <c r="C1097"/>
      <c r="M1097"/>
    </row>
    <row r="1098" spans="3:13" ht="12.75" customHeight="1" x14ac:dyDescent="0.2">
      <c r="C1098"/>
      <c r="M1098"/>
    </row>
    <row r="1099" spans="3:13" ht="12.75" customHeight="1" x14ac:dyDescent="0.2">
      <c r="C1099"/>
      <c r="M1099"/>
    </row>
    <row r="1100" spans="3:13" ht="12.75" customHeight="1" x14ac:dyDescent="0.2">
      <c r="C1100"/>
      <c r="M1100"/>
    </row>
    <row r="1101" spans="3:13" ht="12.75" customHeight="1" x14ac:dyDescent="0.2">
      <c r="C1101"/>
      <c r="M1101"/>
    </row>
    <row r="1102" spans="3:13" ht="12.75" customHeight="1" x14ac:dyDescent="0.2">
      <c r="C1102"/>
      <c r="M1102"/>
    </row>
    <row r="1103" spans="3:13" ht="12.75" customHeight="1" x14ac:dyDescent="0.2">
      <c r="C1103"/>
      <c r="M1103"/>
    </row>
    <row r="1104" spans="3:13" ht="12.75" customHeight="1" x14ac:dyDescent="0.2">
      <c r="C1104"/>
      <c r="M1104"/>
    </row>
    <row r="1105" spans="3:13" ht="12.75" customHeight="1" x14ac:dyDescent="0.2">
      <c r="C1105"/>
      <c r="M1105"/>
    </row>
    <row r="1106" spans="3:13" ht="12.75" customHeight="1" x14ac:dyDescent="0.2">
      <c r="C1106"/>
      <c r="M1106"/>
    </row>
    <row r="1107" spans="3:13" ht="12.75" customHeight="1" x14ac:dyDescent="0.2">
      <c r="C1107"/>
      <c r="M1107"/>
    </row>
    <row r="1108" spans="3:13" ht="12.75" customHeight="1" x14ac:dyDescent="0.2">
      <c r="C1108"/>
      <c r="M1108"/>
    </row>
    <row r="1109" spans="3:13" ht="12.75" customHeight="1" x14ac:dyDescent="0.2">
      <c r="C1109"/>
      <c r="M1109"/>
    </row>
    <row r="1110" spans="3:13" ht="12.75" customHeight="1" x14ac:dyDescent="0.2">
      <c r="C1110"/>
      <c r="M1110"/>
    </row>
    <row r="1111" spans="3:13" ht="12.75" customHeight="1" x14ac:dyDescent="0.2">
      <c r="C1111"/>
      <c r="M1111"/>
    </row>
    <row r="1112" spans="3:13" ht="12.75" customHeight="1" x14ac:dyDescent="0.2">
      <c r="C1112"/>
      <c r="M1112"/>
    </row>
    <row r="1113" spans="3:13" ht="12.75" customHeight="1" x14ac:dyDescent="0.2">
      <c r="C1113"/>
      <c r="M1113"/>
    </row>
    <row r="1114" spans="3:13" ht="12.75" customHeight="1" x14ac:dyDescent="0.2">
      <c r="C1114"/>
      <c r="M1114"/>
    </row>
    <row r="1115" spans="3:13" ht="12.75" customHeight="1" x14ac:dyDescent="0.2">
      <c r="C1115"/>
      <c r="M1115"/>
    </row>
    <row r="1116" spans="3:13" ht="12.75" customHeight="1" x14ac:dyDescent="0.2">
      <c r="C1116"/>
      <c r="M1116"/>
    </row>
    <row r="1117" spans="3:13" ht="12.75" customHeight="1" x14ac:dyDescent="0.2">
      <c r="C1117"/>
      <c r="M1117"/>
    </row>
    <row r="1118" spans="3:13" ht="12.75" customHeight="1" x14ac:dyDescent="0.2">
      <c r="C1118"/>
      <c r="M1118"/>
    </row>
    <row r="1119" spans="3:13" ht="12.75" customHeight="1" x14ac:dyDescent="0.2">
      <c r="C1119"/>
      <c r="M1119"/>
    </row>
    <row r="1120" spans="3:13" ht="12.75" customHeight="1" x14ac:dyDescent="0.2">
      <c r="C1120"/>
      <c r="M1120"/>
    </row>
    <row r="1121" spans="3:13" ht="12.75" customHeight="1" x14ac:dyDescent="0.2">
      <c r="C1121"/>
      <c r="M1121"/>
    </row>
    <row r="1122" spans="3:13" ht="12.75" customHeight="1" x14ac:dyDescent="0.2">
      <c r="C1122"/>
      <c r="M1122"/>
    </row>
    <row r="1123" spans="3:13" ht="12.75" customHeight="1" x14ac:dyDescent="0.2">
      <c r="C1123"/>
      <c r="M1123"/>
    </row>
    <row r="1124" spans="3:13" ht="12.75" customHeight="1" x14ac:dyDescent="0.2">
      <c r="C1124"/>
      <c r="M1124"/>
    </row>
    <row r="1125" spans="3:13" ht="12.75" customHeight="1" x14ac:dyDescent="0.2">
      <c r="C1125"/>
      <c r="M1125"/>
    </row>
    <row r="1126" spans="3:13" ht="12.75" customHeight="1" x14ac:dyDescent="0.2">
      <c r="C1126"/>
      <c r="M1126"/>
    </row>
    <row r="1127" spans="3:13" ht="12.75" customHeight="1" x14ac:dyDescent="0.2">
      <c r="C1127"/>
      <c r="M1127"/>
    </row>
    <row r="1128" spans="3:13" ht="12.75" customHeight="1" x14ac:dyDescent="0.2">
      <c r="C1128"/>
      <c r="M1128"/>
    </row>
    <row r="1129" spans="3:13" ht="12.75" customHeight="1" x14ac:dyDescent="0.2">
      <c r="C1129"/>
      <c r="M1129"/>
    </row>
    <row r="1130" spans="3:13" ht="12.75" customHeight="1" x14ac:dyDescent="0.2">
      <c r="C1130"/>
      <c r="M1130"/>
    </row>
    <row r="1131" spans="3:13" ht="12.75" customHeight="1" x14ac:dyDescent="0.2">
      <c r="C1131"/>
      <c r="M1131"/>
    </row>
    <row r="1132" spans="3:13" ht="12.75" customHeight="1" x14ac:dyDescent="0.2">
      <c r="C1132"/>
      <c r="M1132"/>
    </row>
    <row r="1133" spans="3:13" ht="12.75" customHeight="1" x14ac:dyDescent="0.2">
      <c r="C1133"/>
      <c r="M1133"/>
    </row>
    <row r="1134" spans="3:13" ht="12.75" customHeight="1" x14ac:dyDescent="0.2">
      <c r="C1134"/>
      <c r="M1134"/>
    </row>
    <row r="1135" spans="3:13" ht="12.75" customHeight="1" x14ac:dyDescent="0.2">
      <c r="C1135"/>
      <c r="M1135"/>
    </row>
    <row r="1136" spans="3:13" ht="12.75" customHeight="1" x14ac:dyDescent="0.2">
      <c r="C1136"/>
      <c r="M1136"/>
    </row>
    <row r="1137" spans="3:13" ht="12.75" customHeight="1" x14ac:dyDescent="0.2">
      <c r="C1137"/>
      <c r="M1137"/>
    </row>
    <row r="1138" spans="3:13" ht="12.75" customHeight="1" x14ac:dyDescent="0.2">
      <c r="C1138"/>
      <c r="M1138"/>
    </row>
    <row r="1139" spans="3:13" ht="12.75" customHeight="1" x14ac:dyDescent="0.2">
      <c r="C1139"/>
      <c r="M1139"/>
    </row>
    <row r="1140" spans="3:13" ht="12.75" customHeight="1" x14ac:dyDescent="0.2">
      <c r="C1140"/>
      <c r="M1140"/>
    </row>
    <row r="1141" spans="3:13" ht="12.75" customHeight="1" x14ac:dyDescent="0.2">
      <c r="C1141"/>
      <c r="M1141"/>
    </row>
    <row r="1142" spans="3:13" ht="12.75" customHeight="1" x14ac:dyDescent="0.2">
      <c r="C1142"/>
      <c r="M1142"/>
    </row>
    <row r="1143" spans="3:13" ht="12.75" customHeight="1" x14ac:dyDescent="0.2">
      <c r="C1143"/>
      <c r="M1143"/>
    </row>
    <row r="1144" spans="3:13" ht="12.75" customHeight="1" x14ac:dyDescent="0.2">
      <c r="C1144"/>
      <c r="M1144"/>
    </row>
    <row r="1145" spans="3:13" ht="12.75" customHeight="1" x14ac:dyDescent="0.2">
      <c r="C1145"/>
      <c r="M1145"/>
    </row>
    <row r="1146" spans="3:13" ht="12.75" customHeight="1" x14ac:dyDescent="0.2">
      <c r="C1146"/>
      <c r="M1146"/>
    </row>
    <row r="1147" spans="3:13" ht="12.75" customHeight="1" x14ac:dyDescent="0.2">
      <c r="C1147"/>
      <c r="M1147"/>
    </row>
    <row r="1148" spans="3:13" ht="12.75" customHeight="1" x14ac:dyDescent="0.2">
      <c r="C1148"/>
      <c r="M1148"/>
    </row>
    <row r="1149" spans="3:13" ht="12.75" customHeight="1" x14ac:dyDescent="0.2">
      <c r="C1149"/>
      <c r="M1149"/>
    </row>
    <row r="1150" spans="3:13" ht="12.75" customHeight="1" x14ac:dyDescent="0.2">
      <c r="C1150"/>
      <c r="M1150"/>
    </row>
    <row r="1151" spans="3:13" ht="12.75" customHeight="1" x14ac:dyDescent="0.2">
      <c r="C1151"/>
      <c r="M1151"/>
    </row>
    <row r="1152" spans="3:13" ht="12.75" customHeight="1" x14ac:dyDescent="0.2">
      <c r="C1152"/>
      <c r="M1152"/>
    </row>
    <row r="1153" spans="3:13" ht="12.75" customHeight="1" x14ac:dyDescent="0.2">
      <c r="C1153"/>
      <c r="M1153"/>
    </row>
    <row r="1154" spans="3:13" ht="12.75" customHeight="1" x14ac:dyDescent="0.2">
      <c r="C1154"/>
      <c r="M1154"/>
    </row>
    <row r="1155" spans="3:13" ht="12.75" customHeight="1" x14ac:dyDescent="0.2">
      <c r="C1155"/>
      <c r="M1155"/>
    </row>
    <row r="1156" spans="3:13" ht="12.75" customHeight="1" x14ac:dyDescent="0.2">
      <c r="C1156"/>
      <c r="M1156"/>
    </row>
    <row r="1157" spans="3:13" ht="12.75" customHeight="1" x14ac:dyDescent="0.2">
      <c r="C1157"/>
      <c r="M1157"/>
    </row>
    <row r="1158" spans="3:13" ht="12.75" customHeight="1" x14ac:dyDescent="0.2">
      <c r="C1158"/>
      <c r="M1158"/>
    </row>
    <row r="1159" spans="3:13" ht="12.75" customHeight="1" x14ac:dyDescent="0.2">
      <c r="C1159"/>
      <c r="M1159"/>
    </row>
    <row r="1160" spans="3:13" ht="12.75" customHeight="1" x14ac:dyDescent="0.2">
      <c r="C1160"/>
      <c r="M1160"/>
    </row>
    <row r="1161" spans="3:13" ht="12.75" customHeight="1" x14ac:dyDescent="0.2">
      <c r="C1161"/>
      <c r="M1161"/>
    </row>
    <row r="1162" spans="3:13" ht="12.75" customHeight="1" x14ac:dyDescent="0.2">
      <c r="C1162"/>
      <c r="M1162"/>
    </row>
    <row r="1163" spans="3:13" ht="12.75" customHeight="1" x14ac:dyDescent="0.2">
      <c r="C1163"/>
      <c r="M1163"/>
    </row>
    <row r="1164" spans="3:13" ht="12.75" customHeight="1" x14ac:dyDescent="0.2">
      <c r="C1164"/>
      <c r="M1164"/>
    </row>
    <row r="1165" spans="3:13" ht="12.75" customHeight="1" x14ac:dyDescent="0.2">
      <c r="C1165"/>
      <c r="M1165"/>
    </row>
    <row r="1166" spans="3:13" ht="12.75" customHeight="1" x14ac:dyDescent="0.2">
      <c r="C1166"/>
      <c r="M1166"/>
    </row>
    <row r="1167" spans="3:13" ht="12.75" customHeight="1" x14ac:dyDescent="0.2">
      <c r="C1167"/>
      <c r="M1167"/>
    </row>
    <row r="1168" spans="3:13" ht="12.75" customHeight="1" x14ac:dyDescent="0.2">
      <c r="C1168"/>
      <c r="M1168"/>
    </row>
    <row r="1169" spans="3:13" ht="12.75" customHeight="1" x14ac:dyDescent="0.2">
      <c r="C1169"/>
      <c r="M1169"/>
    </row>
    <row r="1170" spans="3:13" ht="12.75" customHeight="1" x14ac:dyDescent="0.2">
      <c r="C1170"/>
      <c r="M1170"/>
    </row>
    <row r="1171" spans="3:13" ht="12.75" customHeight="1" x14ac:dyDescent="0.2">
      <c r="C1171"/>
      <c r="M1171"/>
    </row>
    <row r="1172" spans="3:13" ht="12.75" customHeight="1" x14ac:dyDescent="0.2">
      <c r="C1172"/>
      <c r="M1172"/>
    </row>
    <row r="1173" spans="3:13" ht="12.75" customHeight="1" x14ac:dyDescent="0.2">
      <c r="C1173"/>
      <c r="M1173"/>
    </row>
    <row r="1174" spans="3:13" ht="12.75" customHeight="1" x14ac:dyDescent="0.2">
      <c r="C1174"/>
      <c r="M1174"/>
    </row>
    <row r="1175" spans="3:13" ht="12.75" customHeight="1" x14ac:dyDescent="0.2">
      <c r="C1175"/>
      <c r="M1175"/>
    </row>
    <row r="1176" spans="3:13" ht="12.75" customHeight="1" x14ac:dyDescent="0.2">
      <c r="C1176"/>
      <c r="M1176"/>
    </row>
    <row r="1177" spans="3:13" ht="12.75" customHeight="1" x14ac:dyDescent="0.2">
      <c r="C1177"/>
      <c r="M1177"/>
    </row>
    <row r="1178" spans="3:13" ht="12.75" customHeight="1" x14ac:dyDescent="0.2">
      <c r="C1178"/>
      <c r="M1178"/>
    </row>
    <row r="1179" spans="3:13" ht="12.75" customHeight="1" x14ac:dyDescent="0.2">
      <c r="C1179"/>
      <c r="M1179"/>
    </row>
    <row r="1180" spans="3:13" ht="12.75" customHeight="1" x14ac:dyDescent="0.2">
      <c r="C1180"/>
      <c r="M1180"/>
    </row>
    <row r="1181" spans="3:13" ht="12.75" customHeight="1" x14ac:dyDescent="0.2">
      <c r="C1181"/>
      <c r="M1181"/>
    </row>
    <row r="1182" spans="3:13" ht="12.75" customHeight="1" x14ac:dyDescent="0.2">
      <c r="C1182"/>
      <c r="M1182"/>
    </row>
    <row r="1183" spans="3:13" ht="12.75" customHeight="1" x14ac:dyDescent="0.2">
      <c r="C1183"/>
      <c r="M1183"/>
    </row>
    <row r="1184" spans="3:13" ht="12.75" customHeight="1" x14ac:dyDescent="0.2">
      <c r="C1184"/>
      <c r="M1184"/>
    </row>
    <row r="1185" spans="3:13" ht="12.75" customHeight="1" x14ac:dyDescent="0.2">
      <c r="C1185"/>
      <c r="M1185"/>
    </row>
    <row r="1186" spans="3:13" ht="12.75" customHeight="1" x14ac:dyDescent="0.2">
      <c r="C1186"/>
      <c r="M1186"/>
    </row>
    <row r="1187" spans="3:13" ht="12.75" customHeight="1" x14ac:dyDescent="0.2">
      <c r="C1187"/>
      <c r="M1187"/>
    </row>
    <row r="1188" spans="3:13" ht="12.75" customHeight="1" x14ac:dyDescent="0.2">
      <c r="C1188"/>
      <c r="M1188"/>
    </row>
    <row r="1189" spans="3:13" ht="12.75" customHeight="1" x14ac:dyDescent="0.2">
      <c r="C1189"/>
      <c r="M1189"/>
    </row>
    <row r="1190" spans="3:13" ht="12.75" customHeight="1" x14ac:dyDescent="0.2">
      <c r="C1190"/>
      <c r="M1190"/>
    </row>
    <row r="1191" spans="3:13" ht="12.75" customHeight="1" x14ac:dyDescent="0.2">
      <c r="C1191"/>
      <c r="M1191"/>
    </row>
    <row r="1192" spans="3:13" ht="12.75" customHeight="1" x14ac:dyDescent="0.2">
      <c r="C1192"/>
      <c r="M1192"/>
    </row>
    <row r="1193" spans="3:13" ht="12.75" customHeight="1" x14ac:dyDescent="0.2">
      <c r="C1193"/>
      <c r="M1193"/>
    </row>
    <row r="1194" spans="3:13" ht="12.75" customHeight="1" x14ac:dyDescent="0.2">
      <c r="C1194"/>
      <c r="M1194"/>
    </row>
    <row r="1195" spans="3:13" ht="12.75" customHeight="1" x14ac:dyDescent="0.2">
      <c r="C1195"/>
      <c r="M1195"/>
    </row>
    <row r="1196" spans="3:13" ht="12.75" customHeight="1" x14ac:dyDescent="0.2">
      <c r="C1196"/>
      <c r="M1196"/>
    </row>
    <row r="1197" spans="3:13" ht="12.75" customHeight="1" x14ac:dyDescent="0.2">
      <c r="C1197"/>
      <c r="M1197"/>
    </row>
    <row r="1198" spans="3:13" ht="12.75" customHeight="1" x14ac:dyDescent="0.2">
      <c r="C1198"/>
      <c r="M1198"/>
    </row>
    <row r="1199" spans="3:13" ht="12.75" customHeight="1" x14ac:dyDescent="0.2">
      <c r="C1199"/>
      <c r="M1199"/>
    </row>
    <row r="1200" spans="3:13" ht="12.75" customHeight="1" x14ac:dyDescent="0.2">
      <c r="C1200"/>
      <c r="M1200"/>
    </row>
    <row r="1201" spans="3:13" ht="12.75" customHeight="1" x14ac:dyDescent="0.2">
      <c r="C1201"/>
      <c r="M1201"/>
    </row>
    <row r="1202" spans="3:13" ht="12.75" customHeight="1" x14ac:dyDescent="0.2">
      <c r="C1202"/>
      <c r="M1202"/>
    </row>
    <row r="1203" spans="3:13" ht="12.75" customHeight="1" x14ac:dyDescent="0.2">
      <c r="C1203"/>
      <c r="M1203"/>
    </row>
    <row r="1204" spans="3:13" ht="12.75" customHeight="1" x14ac:dyDescent="0.2">
      <c r="C1204"/>
      <c r="M1204"/>
    </row>
    <row r="1205" spans="3:13" ht="12.75" customHeight="1" x14ac:dyDescent="0.2">
      <c r="C1205"/>
      <c r="M1205"/>
    </row>
    <row r="1206" spans="3:13" ht="12.75" customHeight="1" x14ac:dyDescent="0.2">
      <c r="C1206"/>
      <c r="M1206"/>
    </row>
    <row r="1207" spans="3:13" ht="12.75" customHeight="1" x14ac:dyDescent="0.2">
      <c r="C1207"/>
      <c r="M1207"/>
    </row>
    <row r="1208" spans="3:13" ht="12.75" customHeight="1" x14ac:dyDescent="0.2">
      <c r="C1208"/>
      <c r="M1208"/>
    </row>
    <row r="1209" spans="3:13" ht="12.75" customHeight="1" x14ac:dyDescent="0.2">
      <c r="C1209"/>
      <c r="M1209"/>
    </row>
    <row r="1210" spans="3:13" ht="12.75" customHeight="1" x14ac:dyDescent="0.2">
      <c r="C1210"/>
      <c r="M1210"/>
    </row>
    <row r="1211" spans="3:13" ht="12.75" customHeight="1" x14ac:dyDescent="0.2">
      <c r="C1211"/>
      <c r="M1211"/>
    </row>
    <row r="1212" spans="3:13" ht="12.75" customHeight="1" x14ac:dyDescent="0.2">
      <c r="C1212"/>
      <c r="M1212"/>
    </row>
    <row r="1213" spans="3:13" ht="12.75" customHeight="1" x14ac:dyDescent="0.2">
      <c r="C1213"/>
      <c r="M1213"/>
    </row>
    <row r="1214" spans="3:13" ht="12.75" customHeight="1" x14ac:dyDescent="0.2">
      <c r="C1214"/>
      <c r="M1214"/>
    </row>
    <row r="1215" spans="3:13" ht="12.75" customHeight="1" x14ac:dyDescent="0.2">
      <c r="C1215"/>
      <c r="M1215"/>
    </row>
    <row r="1216" spans="3:13" ht="12.75" customHeight="1" x14ac:dyDescent="0.2">
      <c r="C1216"/>
      <c r="M1216"/>
    </row>
    <row r="1217" spans="3:13" ht="12.75" customHeight="1" x14ac:dyDescent="0.2">
      <c r="C1217"/>
      <c r="M1217"/>
    </row>
    <row r="1218" spans="3:13" ht="12.75" customHeight="1" x14ac:dyDescent="0.2">
      <c r="C1218"/>
      <c r="M1218"/>
    </row>
    <row r="1219" spans="3:13" ht="12.75" customHeight="1" x14ac:dyDescent="0.2">
      <c r="C1219"/>
      <c r="M1219"/>
    </row>
    <row r="1220" spans="3:13" ht="12.75" customHeight="1" x14ac:dyDescent="0.2">
      <c r="C1220"/>
      <c r="M1220"/>
    </row>
    <row r="1221" spans="3:13" ht="12.75" customHeight="1" x14ac:dyDescent="0.2">
      <c r="C1221"/>
      <c r="M1221"/>
    </row>
    <row r="1222" spans="3:13" ht="12.75" customHeight="1" x14ac:dyDescent="0.2">
      <c r="C1222"/>
      <c r="M1222"/>
    </row>
    <row r="1223" spans="3:13" ht="12.75" customHeight="1" x14ac:dyDescent="0.2">
      <c r="C1223"/>
      <c r="M1223"/>
    </row>
    <row r="1224" spans="3:13" ht="12.75" customHeight="1" x14ac:dyDescent="0.2">
      <c r="C1224"/>
      <c r="M1224"/>
    </row>
    <row r="1225" spans="3:13" ht="12.75" customHeight="1" x14ac:dyDescent="0.2">
      <c r="C1225"/>
      <c r="M1225"/>
    </row>
    <row r="1226" spans="3:13" ht="12.75" customHeight="1" x14ac:dyDescent="0.2">
      <c r="C1226"/>
      <c r="M1226"/>
    </row>
    <row r="1227" spans="3:13" ht="12.75" customHeight="1" x14ac:dyDescent="0.2">
      <c r="C1227"/>
      <c r="M1227"/>
    </row>
    <row r="1228" spans="3:13" ht="12.75" customHeight="1" x14ac:dyDescent="0.2">
      <c r="C1228"/>
      <c r="M1228"/>
    </row>
    <row r="1229" spans="3:13" ht="12.75" customHeight="1" x14ac:dyDescent="0.2">
      <c r="C1229"/>
      <c r="M1229"/>
    </row>
    <row r="1230" spans="3:13" ht="12.75" customHeight="1" x14ac:dyDescent="0.2">
      <c r="C1230"/>
      <c r="M1230"/>
    </row>
    <row r="1231" spans="3:13" ht="12.75" customHeight="1" x14ac:dyDescent="0.2">
      <c r="C1231"/>
      <c r="M1231"/>
    </row>
    <row r="1232" spans="3:13" ht="12.75" customHeight="1" x14ac:dyDescent="0.2">
      <c r="C1232"/>
      <c r="M1232"/>
    </row>
    <row r="1233" spans="3:13" ht="12.75" customHeight="1" x14ac:dyDescent="0.2">
      <c r="C1233"/>
      <c r="M1233"/>
    </row>
    <row r="1234" spans="3:13" ht="12.75" customHeight="1" x14ac:dyDescent="0.2">
      <c r="C1234"/>
      <c r="M1234"/>
    </row>
    <row r="1235" spans="3:13" ht="12.75" customHeight="1" x14ac:dyDescent="0.2">
      <c r="C1235"/>
      <c r="M1235"/>
    </row>
    <row r="1236" spans="3:13" ht="12.75" customHeight="1" x14ac:dyDescent="0.2">
      <c r="C1236"/>
      <c r="M1236"/>
    </row>
    <row r="1237" spans="3:13" ht="12.75" customHeight="1" x14ac:dyDescent="0.2">
      <c r="C1237"/>
      <c r="M1237"/>
    </row>
    <row r="1238" spans="3:13" ht="12.75" customHeight="1" x14ac:dyDescent="0.2">
      <c r="C1238"/>
      <c r="M1238"/>
    </row>
    <row r="1239" spans="3:13" ht="12.75" customHeight="1" x14ac:dyDescent="0.2">
      <c r="C1239"/>
      <c r="M1239"/>
    </row>
    <row r="1240" spans="3:13" ht="12.75" customHeight="1" x14ac:dyDescent="0.2">
      <c r="C1240"/>
      <c r="M1240"/>
    </row>
    <row r="1241" spans="3:13" ht="12.75" customHeight="1" x14ac:dyDescent="0.2">
      <c r="C1241"/>
      <c r="M1241"/>
    </row>
    <row r="1242" spans="3:13" ht="12.75" customHeight="1" x14ac:dyDescent="0.2">
      <c r="C1242"/>
      <c r="M1242"/>
    </row>
    <row r="1243" spans="3:13" ht="12.75" customHeight="1" x14ac:dyDescent="0.2">
      <c r="C1243"/>
      <c r="M1243"/>
    </row>
    <row r="1244" spans="3:13" ht="12.75" customHeight="1" x14ac:dyDescent="0.2">
      <c r="C1244"/>
      <c r="M1244"/>
    </row>
    <row r="1245" spans="3:13" ht="12.75" customHeight="1" x14ac:dyDescent="0.2">
      <c r="C1245"/>
      <c r="M1245"/>
    </row>
    <row r="1246" spans="3:13" ht="12.75" customHeight="1" x14ac:dyDescent="0.2">
      <c r="C1246"/>
      <c r="M1246"/>
    </row>
    <row r="1247" spans="3:13" ht="12.75" customHeight="1" x14ac:dyDescent="0.2">
      <c r="C1247"/>
      <c r="M1247"/>
    </row>
    <row r="1248" spans="3:13" ht="12.75" customHeight="1" x14ac:dyDescent="0.2">
      <c r="C1248"/>
      <c r="M1248"/>
    </row>
    <row r="1249" spans="3:13" ht="12.75" customHeight="1" x14ac:dyDescent="0.2">
      <c r="C1249"/>
      <c r="M1249"/>
    </row>
    <row r="1250" spans="3:13" ht="12.75" customHeight="1" x14ac:dyDescent="0.2">
      <c r="C1250"/>
      <c r="M1250"/>
    </row>
    <row r="1251" spans="3:13" ht="12.75" customHeight="1" x14ac:dyDescent="0.2">
      <c r="C1251"/>
      <c r="M1251"/>
    </row>
    <row r="1252" spans="3:13" ht="12.75" customHeight="1" x14ac:dyDescent="0.2">
      <c r="C1252"/>
      <c r="M1252"/>
    </row>
    <row r="1253" spans="3:13" ht="12.75" customHeight="1" x14ac:dyDescent="0.2">
      <c r="C1253"/>
      <c r="M1253"/>
    </row>
    <row r="1254" spans="3:13" ht="12.75" customHeight="1" x14ac:dyDescent="0.2">
      <c r="C1254"/>
      <c r="M1254"/>
    </row>
    <row r="1255" spans="3:13" ht="12.75" customHeight="1" x14ac:dyDescent="0.2">
      <c r="C1255"/>
      <c r="M1255"/>
    </row>
    <row r="1256" spans="3:13" ht="12.75" customHeight="1" x14ac:dyDescent="0.2">
      <c r="C1256"/>
      <c r="M1256"/>
    </row>
    <row r="1257" spans="3:13" ht="12.75" customHeight="1" x14ac:dyDescent="0.2">
      <c r="C1257"/>
      <c r="M1257"/>
    </row>
    <row r="1258" spans="3:13" ht="12.75" customHeight="1" x14ac:dyDescent="0.2">
      <c r="C1258"/>
      <c r="M1258"/>
    </row>
    <row r="1259" spans="3:13" ht="12.75" customHeight="1" x14ac:dyDescent="0.2">
      <c r="C1259"/>
      <c r="M1259"/>
    </row>
    <row r="1260" spans="3:13" ht="12.75" customHeight="1" x14ac:dyDescent="0.2">
      <c r="C1260"/>
      <c r="M1260"/>
    </row>
    <row r="1261" spans="3:13" ht="12.75" customHeight="1" x14ac:dyDescent="0.2">
      <c r="C1261"/>
      <c r="M1261"/>
    </row>
    <row r="1262" spans="3:13" ht="12.75" customHeight="1" x14ac:dyDescent="0.2">
      <c r="C1262"/>
      <c r="M1262"/>
    </row>
    <row r="1263" spans="3:13" ht="12.75" customHeight="1" x14ac:dyDescent="0.2">
      <c r="C1263"/>
      <c r="M1263"/>
    </row>
    <row r="1264" spans="3:13" ht="12.75" customHeight="1" x14ac:dyDescent="0.2">
      <c r="C1264"/>
      <c r="M1264"/>
    </row>
    <row r="1265" spans="3:13" ht="12.75" customHeight="1" x14ac:dyDescent="0.2">
      <c r="C1265"/>
      <c r="M1265"/>
    </row>
    <row r="1266" spans="3:13" ht="12.75" customHeight="1" x14ac:dyDescent="0.2">
      <c r="C1266"/>
      <c r="M1266"/>
    </row>
    <row r="1267" spans="3:13" ht="12.75" customHeight="1" x14ac:dyDescent="0.2">
      <c r="C1267"/>
      <c r="M1267"/>
    </row>
    <row r="1268" spans="3:13" ht="12.75" customHeight="1" x14ac:dyDescent="0.2">
      <c r="C1268"/>
      <c r="M1268"/>
    </row>
    <row r="1269" spans="3:13" ht="12.75" customHeight="1" x14ac:dyDescent="0.2">
      <c r="C1269"/>
      <c r="M1269"/>
    </row>
    <row r="1270" spans="3:13" ht="12.75" customHeight="1" x14ac:dyDescent="0.2">
      <c r="C1270"/>
      <c r="M1270"/>
    </row>
    <row r="1271" spans="3:13" ht="12.75" customHeight="1" x14ac:dyDescent="0.2">
      <c r="C1271"/>
      <c r="M1271"/>
    </row>
    <row r="1272" spans="3:13" ht="12.75" customHeight="1" x14ac:dyDescent="0.2">
      <c r="C1272"/>
      <c r="M1272"/>
    </row>
    <row r="1273" spans="3:13" ht="12.75" customHeight="1" x14ac:dyDescent="0.2">
      <c r="C1273"/>
      <c r="M1273"/>
    </row>
    <row r="1274" spans="3:13" ht="12.75" customHeight="1" x14ac:dyDescent="0.2">
      <c r="C1274"/>
      <c r="M1274"/>
    </row>
    <row r="1275" spans="3:13" ht="12.75" customHeight="1" x14ac:dyDescent="0.2">
      <c r="C1275"/>
      <c r="M1275"/>
    </row>
    <row r="1276" spans="3:13" ht="12.75" customHeight="1" x14ac:dyDescent="0.2">
      <c r="C1276"/>
      <c r="M1276"/>
    </row>
    <row r="1277" spans="3:13" ht="12.75" customHeight="1" x14ac:dyDescent="0.2">
      <c r="C1277"/>
      <c r="M1277"/>
    </row>
    <row r="1278" spans="3:13" ht="12.75" customHeight="1" x14ac:dyDescent="0.2">
      <c r="C1278"/>
      <c r="M1278"/>
    </row>
    <row r="1279" spans="3:13" ht="12.75" customHeight="1" x14ac:dyDescent="0.2">
      <c r="C1279"/>
      <c r="M1279"/>
    </row>
    <row r="1280" spans="3:13" ht="12.75" customHeight="1" x14ac:dyDescent="0.2">
      <c r="C1280"/>
      <c r="M1280"/>
    </row>
    <row r="1281" spans="3:13" ht="12.75" customHeight="1" x14ac:dyDescent="0.2">
      <c r="C1281"/>
      <c r="M1281"/>
    </row>
    <row r="1282" spans="3:13" ht="12.75" customHeight="1" x14ac:dyDescent="0.2">
      <c r="C1282"/>
      <c r="M1282"/>
    </row>
    <row r="1283" spans="3:13" ht="12.75" customHeight="1" x14ac:dyDescent="0.2">
      <c r="C1283"/>
      <c r="M1283"/>
    </row>
    <row r="1284" spans="3:13" ht="12.75" customHeight="1" x14ac:dyDescent="0.2">
      <c r="C1284"/>
      <c r="M1284"/>
    </row>
    <row r="1285" spans="3:13" ht="12.75" customHeight="1" x14ac:dyDescent="0.2">
      <c r="C1285"/>
      <c r="M1285"/>
    </row>
    <row r="1286" spans="3:13" ht="12.75" customHeight="1" x14ac:dyDescent="0.2">
      <c r="C1286"/>
      <c r="M1286"/>
    </row>
    <row r="1287" spans="3:13" ht="12.75" customHeight="1" x14ac:dyDescent="0.2">
      <c r="C1287"/>
      <c r="M1287"/>
    </row>
    <row r="1288" spans="3:13" ht="12.75" customHeight="1" x14ac:dyDescent="0.2">
      <c r="C1288"/>
      <c r="M1288"/>
    </row>
    <row r="1289" spans="3:13" ht="12.75" customHeight="1" x14ac:dyDescent="0.2">
      <c r="C1289"/>
      <c r="M1289"/>
    </row>
    <row r="1290" spans="3:13" ht="12.75" customHeight="1" x14ac:dyDescent="0.2">
      <c r="C1290"/>
      <c r="M1290"/>
    </row>
    <row r="1291" spans="3:13" ht="12.75" customHeight="1" x14ac:dyDescent="0.2">
      <c r="C1291"/>
      <c r="M1291"/>
    </row>
    <row r="1292" spans="3:13" ht="12.75" customHeight="1" x14ac:dyDescent="0.2">
      <c r="C1292"/>
      <c r="M1292"/>
    </row>
    <row r="1293" spans="3:13" ht="12.75" customHeight="1" x14ac:dyDescent="0.2">
      <c r="C1293"/>
      <c r="M1293"/>
    </row>
    <row r="1294" spans="3:13" ht="12.75" customHeight="1" x14ac:dyDescent="0.2">
      <c r="C1294"/>
      <c r="M1294"/>
    </row>
    <row r="1295" spans="3:13" ht="12.75" customHeight="1" x14ac:dyDescent="0.2">
      <c r="C1295"/>
      <c r="M1295"/>
    </row>
    <row r="1296" spans="3:13" ht="12.75" customHeight="1" x14ac:dyDescent="0.2">
      <c r="C1296"/>
      <c r="M1296"/>
    </row>
    <row r="1297" spans="3:13" ht="12.75" customHeight="1" x14ac:dyDescent="0.2">
      <c r="C1297"/>
      <c r="M1297"/>
    </row>
    <row r="1298" spans="3:13" ht="12.75" customHeight="1" x14ac:dyDescent="0.2">
      <c r="C1298"/>
      <c r="M1298"/>
    </row>
    <row r="1299" spans="3:13" ht="12.75" customHeight="1" x14ac:dyDescent="0.2">
      <c r="C1299"/>
      <c r="M1299"/>
    </row>
    <row r="1300" spans="3:13" ht="12.75" customHeight="1" x14ac:dyDescent="0.2">
      <c r="C1300"/>
      <c r="M1300"/>
    </row>
    <row r="1301" spans="3:13" ht="12.75" customHeight="1" x14ac:dyDescent="0.2">
      <c r="C1301"/>
      <c r="M1301"/>
    </row>
    <row r="1302" spans="3:13" ht="12.75" customHeight="1" x14ac:dyDescent="0.2">
      <c r="C1302"/>
      <c r="M1302"/>
    </row>
    <row r="1303" spans="3:13" ht="12.75" customHeight="1" x14ac:dyDescent="0.2">
      <c r="C1303"/>
      <c r="M1303"/>
    </row>
    <row r="1304" spans="3:13" ht="12.75" customHeight="1" x14ac:dyDescent="0.2">
      <c r="C1304"/>
      <c r="M1304"/>
    </row>
    <row r="1305" spans="3:13" ht="12.75" customHeight="1" x14ac:dyDescent="0.2">
      <c r="C1305"/>
      <c r="M1305"/>
    </row>
    <row r="1306" spans="3:13" ht="12.75" customHeight="1" x14ac:dyDescent="0.2">
      <c r="C1306"/>
      <c r="M1306"/>
    </row>
    <row r="1307" spans="3:13" ht="12.75" customHeight="1" x14ac:dyDescent="0.2">
      <c r="C1307"/>
      <c r="M1307"/>
    </row>
    <row r="1308" spans="3:13" ht="12.75" customHeight="1" x14ac:dyDescent="0.2">
      <c r="C1308"/>
      <c r="M1308"/>
    </row>
    <row r="1309" spans="3:13" ht="12.75" customHeight="1" x14ac:dyDescent="0.2">
      <c r="C1309"/>
      <c r="M1309"/>
    </row>
    <row r="1310" spans="3:13" ht="12.75" customHeight="1" x14ac:dyDescent="0.2">
      <c r="C1310"/>
      <c r="M1310"/>
    </row>
    <row r="1311" spans="3:13" ht="12.75" customHeight="1" x14ac:dyDescent="0.2">
      <c r="C1311"/>
      <c r="M1311"/>
    </row>
    <row r="1312" spans="3:13" ht="12.75" customHeight="1" x14ac:dyDescent="0.2">
      <c r="C1312"/>
      <c r="M1312"/>
    </row>
    <row r="1313" spans="3:13" ht="12.75" customHeight="1" x14ac:dyDescent="0.2">
      <c r="C1313"/>
      <c r="M1313"/>
    </row>
    <row r="1314" spans="3:13" ht="12.75" customHeight="1" x14ac:dyDescent="0.2">
      <c r="C1314"/>
      <c r="M1314"/>
    </row>
    <row r="1315" spans="3:13" ht="12.75" customHeight="1" x14ac:dyDescent="0.2">
      <c r="C1315"/>
      <c r="M1315"/>
    </row>
    <row r="1316" spans="3:13" ht="12.75" customHeight="1" x14ac:dyDescent="0.2">
      <c r="C1316"/>
      <c r="M1316"/>
    </row>
    <row r="1317" spans="3:13" ht="12.75" customHeight="1" x14ac:dyDescent="0.2">
      <c r="C1317"/>
      <c r="M1317"/>
    </row>
    <row r="1318" spans="3:13" ht="12.75" customHeight="1" x14ac:dyDescent="0.2">
      <c r="C1318"/>
      <c r="M1318"/>
    </row>
    <row r="1319" spans="3:13" ht="12.75" customHeight="1" x14ac:dyDescent="0.2">
      <c r="C1319"/>
      <c r="M1319"/>
    </row>
    <row r="1320" spans="3:13" ht="12.75" customHeight="1" x14ac:dyDescent="0.2">
      <c r="C1320"/>
      <c r="M1320"/>
    </row>
    <row r="1321" spans="3:13" ht="12.75" customHeight="1" x14ac:dyDescent="0.2">
      <c r="C1321"/>
      <c r="M1321"/>
    </row>
    <row r="1322" spans="3:13" ht="12.75" customHeight="1" x14ac:dyDescent="0.2">
      <c r="C1322"/>
      <c r="M1322"/>
    </row>
    <row r="1323" spans="3:13" ht="12.75" customHeight="1" x14ac:dyDescent="0.2">
      <c r="C1323"/>
      <c r="M1323"/>
    </row>
    <row r="1324" spans="3:13" ht="12.75" customHeight="1" x14ac:dyDescent="0.2">
      <c r="C1324"/>
      <c r="M1324"/>
    </row>
    <row r="1325" spans="3:13" ht="12.75" customHeight="1" x14ac:dyDescent="0.2">
      <c r="C1325"/>
      <c r="M1325"/>
    </row>
    <row r="1326" spans="3:13" ht="12.75" customHeight="1" x14ac:dyDescent="0.2">
      <c r="C1326"/>
      <c r="M1326"/>
    </row>
    <row r="1327" spans="3:13" ht="12.75" customHeight="1" x14ac:dyDescent="0.2">
      <c r="C1327"/>
      <c r="M1327"/>
    </row>
    <row r="1328" spans="3:13" ht="12.75" customHeight="1" x14ac:dyDescent="0.2">
      <c r="C1328"/>
      <c r="M1328"/>
    </row>
    <row r="1329" spans="3:13" ht="12.75" customHeight="1" x14ac:dyDescent="0.2">
      <c r="C1329"/>
      <c r="M1329"/>
    </row>
    <row r="1330" spans="3:13" ht="12.75" customHeight="1" x14ac:dyDescent="0.2">
      <c r="C1330"/>
      <c r="M1330"/>
    </row>
    <row r="1331" spans="3:13" ht="12.75" customHeight="1" x14ac:dyDescent="0.2">
      <c r="C1331"/>
      <c r="M1331"/>
    </row>
    <row r="1332" spans="3:13" ht="12.75" customHeight="1" x14ac:dyDescent="0.2">
      <c r="C1332"/>
      <c r="M1332"/>
    </row>
    <row r="1333" spans="3:13" ht="12.75" customHeight="1" x14ac:dyDescent="0.2">
      <c r="C1333"/>
      <c r="M1333"/>
    </row>
    <row r="1334" spans="3:13" ht="12.75" customHeight="1" x14ac:dyDescent="0.2">
      <c r="C1334"/>
      <c r="M1334"/>
    </row>
    <row r="1335" spans="3:13" ht="12.75" customHeight="1" x14ac:dyDescent="0.2">
      <c r="C1335"/>
      <c r="M1335"/>
    </row>
    <row r="1336" spans="3:13" ht="12.75" customHeight="1" x14ac:dyDescent="0.2">
      <c r="C1336"/>
      <c r="M1336"/>
    </row>
    <row r="1337" spans="3:13" ht="12.75" customHeight="1" x14ac:dyDescent="0.2">
      <c r="C1337"/>
      <c r="M1337"/>
    </row>
    <row r="1338" spans="3:13" ht="12.75" customHeight="1" x14ac:dyDescent="0.2">
      <c r="C1338"/>
      <c r="M1338"/>
    </row>
    <row r="1339" spans="3:13" ht="12.75" customHeight="1" x14ac:dyDescent="0.2">
      <c r="C1339"/>
      <c r="M1339"/>
    </row>
    <row r="1340" spans="3:13" ht="12.75" customHeight="1" x14ac:dyDescent="0.2">
      <c r="C1340"/>
      <c r="M1340"/>
    </row>
    <row r="1341" spans="3:13" ht="12.75" customHeight="1" x14ac:dyDescent="0.2">
      <c r="C1341"/>
      <c r="M1341"/>
    </row>
    <row r="1342" spans="3:13" ht="12.75" customHeight="1" x14ac:dyDescent="0.2">
      <c r="C1342"/>
      <c r="M1342"/>
    </row>
    <row r="1343" spans="3:13" ht="12.75" customHeight="1" x14ac:dyDescent="0.2">
      <c r="C1343"/>
      <c r="M1343"/>
    </row>
    <row r="1344" spans="3:13" ht="12.75" customHeight="1" x14ac:dyDescent="0.2">
      <c r="C1344"/>
      <c r="M1344"/>
    </row>
    <row r="1345" spans="3:13" ht="12.75" customHeight="1" x14ac:dyDescent="0.2">
      <c r="C1345"/>
      <c r="M1345"/>
    </row>
    <row r="1346" spans="3:13" ht="12.75" customHeight="1" x14ac:dyDescent="0.2">
      <c r="C1346"/>
      <c r="M1346"/>
    </row>
    <row r="1347" spans="3:13" ht="12.75" customHeight="1" x14ac:dyDescent="0.2">
      <c r="C1347"/>
      <c r="M1347"/>
    </row>
    <row r="1348" spans="3:13" ht="12.75" customHeight="1" x14ac:dyDescent="0.2">
      <c r="C1348"/>
      <c r="M1348"/>
    </row>
    <row r="1349" spans="3:13" ht="12.75" customHeight="1" x14ac:dyDescent="0.2">
      <c r="C1349"/>
      <c r="M1349"/>
    </row>
    <row r="1350" spans="3:13" ht="12.75" customHeight="1" x14ac:dyDescent="0.2">
      <c r="C1350"/>
      <c r="M1350"/>
    </row>
    <row r="1351" spans="3:13" ht="12.75" customHeight="1" x14ac:dyDescent="0.2">
      <c r="C1351"/>
      <c r="M1351"/>
    </row>
    <row r="1352" spans="3:13" ht="12.75" customHeight="1" x14ac:dyDescent="0.2">
      <c r="C1352"/>
      <c r="M1352"/>
    </row>
    <row r="1353" spans="3:13" ht="12.75" customHeight="1" x14ac:dyDescent="0.2">
      <c r="C1353"/>
      <c r="M1353"/>
    </row>
    <row r="1354" spans="3:13" ht="12.75" customHeight="1" x14ac:dyDescent="0.2">
      <c r="C1354"/>
      <c r="M1354"/>
    </row>
    <row r="1355" spans="3:13" ht="12.75" customHeight="1" x14ac:dyDescent="0.2">
      <c r="C1355"/>
      <c r="M1355"/>
    </row>
    <row r="1356" spans="3:13" ht="12.75" customHeight="1" x14ac:dyDescent="0.2">
      <c r="C1356"/>
      <c r="M1356"/>
    </row>
    <row r="1357" spans="3:13" ht="12.75" customHeight="1" x14ac:dyDescent="0.2">
      <c r="C1357"/>
      <c r="M1357"/>
    </row>
    <row r="1358" spans="3:13" ht="12.75" customHeight="1" x14ac:dyDescent="0.2">
      <c r="C1358"/>
      <c r="M1358"/>
    </row>
    <row r="1359" spans="3:13" ht="12.75" customHeight="1" x14ac:dyDescent="0.2">
      <c r="C1359"/>
      <c r="M1359"/>
    </row>
    <row r="1360" spans="3:13" ht="12.75" customHeight="1" x14ac:dyDescent="0.2">
      <c r="C1360"/>
      <c r="M1360"/>
    </row>
    <row r="1361" spans="3:13" ht="12.75" customHeight="1" x14ac:dyDescent="0.2">
      <c r="C1361"/>
      <c r="M1361"/>
    </row>
    <row r="1362" spans="3:13" ht="12.75" customHeight="1" x14ac:dyDescent="0.2">
      <c r="C1362"/>
      <c r="M1362"/>
    </row>
    <row r="1363" spans="3:13" ht="12.75" customHeight="1" x14ac:dyDescent="0.2">
      <c r="C1363"/>
      <c r="M1363"/>
    </row>
    <row r="1364" spans="3:13" ht="12.75" customHeight="1" x14ac:dyDescent="0.2">
      <c r="C1364"/>
      <c r="M1364"/>
    </row>
    <row r="1365" spans="3:13" ht="12.75" customHeight="1" x14ac:dyDescent="0.2">
      <c r="C1365"/>
      <c r="M1365"/>
    </row>
    <row r="1366" spans="3:13" ht="12.75" customHeight="1" x14ac:dyDescent="0.2">
      <c r="C1366"/>
      <c r="M1366"/>
    </row>
    <row r="1367" spans="3:13" ht="12.75" customHeight="1" x14ac:dyDescent="0.2">
      <c r="C1367"/>
      <c r="M1367"/>
    </row>
    <row r="1368" spans="3:13" ht="12.75" customHeight="1" x14ac:dyDescent="0.2">
      <c r="C1368"/>
      <c r="M1368"/>
    </row>
    <row r="1369" spans="3:13" ht="12.75" customHeight="1" x14ac:dyDescent="0.2">
      <c r="C1369"/>
      <c r="M1369"/>
    </row>
    <row r="1370" spans="3:13" ht="12.75" customHeight="1" x14ac:dyDescent="0.2">
      <c r="C1370"/>
      <c r="M1370"/>
    </row>
    <row r="1371" spans="3:13" ht="12.75" customHeight="1" x14ac:dyDescent="0.2">
      <c r="C1371"/>
      <c r="M1371"/>
    </row>
    <row r="1372" spans="3:13" ht="12.75" customHeight="1" x14ac:dyDescent="0.2">
      <c r="C1372"/>
      <c r="M1372"/>
    </row>
    <row r="1373" spans="3:13" ht="12.75" customHeight="1" x14ac:dyDescent="0.2">
      <c r="C1373"/>
      <c r="M1373"/>
    </row>
    <row r="1374" spans="3:13" ht="12.75" customHeight="1" x14ac:dyDescent="0.2">
      <c r="C1374"/>
      <c r="M1374"/>
    </row>
    <row r="1375" spans="3:13" ht="12.75" customHeight="1" x14ac:dyDescent="0.2">
      <c r="C1375"/>
      <c r="M1375"/>
    </row>
    <row r="1376" spans="3:13" ht="12.75" customHeight="1" x14ac:dyDescent="0.2">
      <c r="C1376"/>
      <c r="M1376"/>
    </row>
    <row r="1377" spans="3:13" ht="12.75" customHeight="1" x14ac:dyDescent="0.2">
      <c r="C1377"/>
      <c r="M1377"/>
    </row>
    <row r="1378" spans="3:13" ht="12.75" customHeight="1" x14ac:dyDescent="0.2">
      <c r="C1378"/>
      <c r="M1378"/>
    </row>
    <row r="1379" spans="3:13" ht="12.75" customHeight="1" x14ac:dyDescent="0.2">
      <c r="C1379"/>
      <c r="M1379"/>
    </row>
    <row r="1380" spans="3:13" ht="12.75" customHeight="1" x14ac:dyDescent="0.2">
      <c r="C1380"/>
      <c r="M1380"/>
    </row>
    <row r="1381" spans="3:13" ht="12.75" customHeight="1" x14ac:dyDescent="0.2">
      <c r="C1381"/>
      <c r="M1381"/>
    </row>
    <row r="1382" spans="3:13" ht="12.75" customHeight="1" x14ac:dyDescent="0.2">
      <c r="C1382"/>
      <c r="M1382"/>
    </row>
    <row r="1383" spans="3:13" ht="12.75" customHeight="1" x14ac:dyDescent="0.2">
      <c r="C1383"/>
      <c r="M1383"/>
    </row>
    <row r="1384" spans="3:13" ht="12.75" customHeight="1" x14ac:dyDescent="0.2">
      <c r="C1384"/>
      <c r="M1384"/>
    </row>
    <row r="1385" spans="3:13" ht="12.75" customHeight="1" x14ac:dyDescent="0.2">
      <c r="C1385"/>
      <c r="M1385"/>
    </row>
    <row r="1386" spans="3:13" ht="12.75" customHeight="1" x14ac:dyDescent="0.2">
      <c r="C1386"/>
      <c r="M1386"/>
    </row>
    <row r="1387" spans="3:13" ht="12.75" customHeight="1" x14ac:dyDescent="0.2">
      <c r="C1387"/>
      <c r="M1387"/>
    </row>
    <row r="1388" spans="3:13" ht="12.75" customHeight="1" x14ac:dyDescent="0.2">
      <c r="C1388"/>
      <c r="M1388"/>
    </row>
    <row r="1389" spans="3:13" ht="12.75" customHeight="1" x14ac:dyDescent="0.2">
      <c r="C1389"/>
      <c r="M1389"/>
    </row>
    <row r="1390" spans="3:13" ht="12.75" customHeight="1" x14ac:dyDescent="0.2">
      <c r="C1390"/>
      <c r="M1390"/>
    </row>
    <row r="1391" spans="3:13" ht="12.75" customHeight="1" x14ac:dyDescent="0.2">
      <c r="C1391"/>
      <c r="M1391"/>
    </row>
    <row r="1392" spans="3:13" ht="12.75" customHeight="1" x14ac:dyDescent="0.2">
      <c r="C1392"/>
      <c r="M1392"/>
    </row>
    <row r="1393" spans="3:13" ht="12.75" customHeight="1" x14ac:dyDescent="0.2">
      <c r="C1393"/>
      <c r="M1393"/>
    </row>
    <row r="1394" spans="3:13" ht="12.75" customHeight="1" x14ac:dyDescent="0.2">
      <c r="C1394"/>
      <c r="M1394"/>
    </row>
    <row r="1395" spans="3:13" ht="12.75" customHeight="1" x14ac:dyDescent="0.2">
      <c r="C1395"/>
      <c r="M1395"/>
    </row>
    <row r="1396" spans="3:13" ht="12.75" customHeight="1" x14ac:dyDescent="0.2">
      <c r="C1396"/>
      <c r="M1396"/>
    </row>
    <row r="1397" spans="3:13" ht="12.75" customHeight="1" x14ac:dyDescent="0.2">
      <c r="C1397"/>
      <c r="M1397"/>
    </row>
    <row r="1398" spans="3:13" ht="12.75" customHeight="1" x14ac:dyDescent="0.2">
      <c r="C1398"/>
      <c r="M1398"/>
    </row>
    <row r="1399" spans="3:13" ht="12.75" customHeight="1" x14ac:dyDescent="0.2">
      <c r="C1399"/>
      <c r="M1399"/>
    </row>
    <row r="1400" spans="3:13" ht="12.75" customHeight="1" x14ac:dyDescent="0.2">
      <c r="C1400"/>
      <c r="M1400"/>
    </row>
    <row r="1401" spans="3:13" ht="12.75" customHeight="1" x14ac:dyDescent="0.2">
      <c r="C1401"/>
      <c r="M1401"/>
    </row>
    <row r="1402" spans="3:13" ht="12.75" customHeight="1" x14ac:dyDescent="0.2">
      <c r="C1402"/>
      <c r="M1402"/>
    </row>
    <row r="1403" spans="3:13" ht="12.75" customHeight="1" x14ac:dyDescent="0.2">
      <c r="C1403"/>
      <c r="M1403"/>
    </row>
    <row r="1404" spans="3:13" ht="12.75" customHeight="1" x14ac:dyDescent="0.2">
      <c r="C1404"/>
      <c r="M1404"/>
    </row>
    <row r="1405" spans="3:13" ht="12.75" customHeight="1" x14ac:dyDescent="0.2">
      <c r="C1405"/>
      <c r="M1405"/>
    </row>
    <row r="1406" spans="3:13" ht="12.75" customHeight="1" x14ac:dyDescent="0.2">
      <c r="C1406"/>
      <c r="M1406"/>
    </row>
    <row r="1407" spans="3:13" ht="12.75" customHeight="1" x14ac:dyDescent="0.2">
      <c r="C1407"/>
      <c r="M1407"/>
    </row>
    <row r="1408" spans="3:13" ht="12.75" customHeight="1" x14ac:dyDescent="0.2">
      <c r="C1408"/>
      <c r="M1408"/>
    </row>
    <row r="1409" spans="3:13" ht="12.75" customHeight="1" x14ac:dyDescent="0.2">
      <c r="C1409"/>
      <c r="M1409"/>
    </row>
    <row r="1410" spans="3:13" ht="12.75" customHeight="1" x14ac:dyDescent="0.2">
      <c r="C1410"/>
      <c r="M1410"/>
    </row>
    <row r="1411" spans="3:13" ht="12.75" customHeight="1" x14ac:dyDescent="0.2">
      <c r="C1411"/>
      <c r="M1411"/>
    </row>
    <row r="1412" spans="3:13" ht="12.75" customHeight="1" x14ac:dyDescent="0.2">
      <c r="C1412"/>
      <c r="M1412"/>
    </row>
    <row r="1413" spans="3:13" ht="12.75" customHeight="1" x14ac:dyDescent="0.2">
      <c r="C1413"/>
      <c r="M1413"/>
    </row>
    <row r="1414" spans="3:13" ht="12.75" customHeight="1" x14ac:dyDescent="0.2">
      <c r="C1414"/>
      <c r="M1414"/>
    </row>
    <row r="1415" spans="3:13" ht="12.75" customHeight="1" x14ac:dyDescent="0.2">
      <c r="C1415"/>
      <c r="M1415"/>
    </row>
    <row r="1416" spans="3:13" ht="12.75" customHeight="1" x14ac:dyDescent="0.2">
      <c r="C1416"/>
      <c r="M1416"/>
    </row>
    <row r="1417" spans="3:13" ht="12.75" customHeight="1" x14ac:dyDescent="0.2">
      <c r="C1417"/>
      <c r="M1417"/>
    </row>
    <row r="1418" spans="3:13" ht="12.75" customHeight="1" x14ac:dyDescent="0.2">
      <c r="C1418"/>
      <c r="M1418"/>
    </row>
    <row r="1419" spans="3:13" ht="12.75" customHeight="1" x14ac:dyDescent="0.2">
      <c r="C1419"/>
      <c r="M1419"/>
    </row>
    <row r="1420" spans="3:13" ht="12.75" customHeight="1" x14ac:dyDescent="0.2">
      <c r="C1420"/>
      <c r="M1420"/>
    </row>
    <row r="1421" spans="3:13" ht="12.75" customHeight="1" x14ac:dyDescent="0.2">
      <c r="C1421"/>
      <c r="M1421"/>
    </row>
    <row r="1422" spans="3:13" ht="12.75" customHeight="1" x14ac:dyDescent="0.2">
      <c r="C1422"/>
      <c r="M1422"/>
    </row>
    <row r="1423" spans="3:13" ht="12.75" customHeight="1" x14ac:dyDescent="0.2">
      <c r="C1423"/>
      <c r="M1423"/>
    </row>
    <row r="1424" spans="3:13" ht="12.75" customHeight="1" x14ac:dyDescent="0.2">
      <c r="C1424"/>
      <c r="M1424"/>
    </row>
    <row r="1425" spans="3:13" ht="12.75" customHeight="1" x14ac:dyDescent="0.2">
      <c r="C1425"/>
      <c r="M1425"/>
    </row>
    <row r="1426" spans="3:13" ht="12.75" customHeight="1" x14ac:dyDescent="0.2">
      <c r="C1426"/>
      <c r="M1426"/>
    </row>
    <row r="1427" spans="3:13" ht="12.75" customHeight="1" x14ac:dyDescent="0.2">
      <c r="C1427"/>
      <c r="M1427"/>
    </row>
    <row r="1428" spans="3:13" ht="12.75" customHeight="1" x14ac:dyDescent="0.2">
      <c r="C1428"/>
      <c r="M1428"/>
    </row>
    <row r="1429" spans="3:13" ht="12.75" customHeight="1" x14ac:dyDescent="0.2">
      <c r="C1429"/>
      <c r="M1429"/>
    </row>
    <row r="1430" spans="3:13" ht="12.75" customHeight="1" x14ac:dyDescent="0.2">
      <c r="C1430"/>
      <c r="M1430"/>
    </row>
    <row r="1431" spans="3:13" ht="12.75" customHeight="1" x14ac:dyDescent="0.2">
      <c r="C1431"/>
      <c r="M1431"/>
    </row>
    <row r="1432" spans="3:13" ht="12.75" customHeight="1" x14ac:dyDescent="0.2">
      <c r="C1432"/>
      <c r="M1432"/>
    </row>
    <row r="1433" spans="3:13" ht="12.75" customHeight="1" x14ac:dyDescent="0.2">
      <c r="C1433"/>
      <c r="M1433"/>
    </row>
    <row r="1434" spans="3:13" ht="12.75" customHeight="1" x14ac:dyDescent="0.2">
      <c r="C1434"/>
      <c r="M1434"/>
    </row>
    <row r="1435" spans="3:13" ht="12.75" customHeight="1" x14ac:dyDescent="0.2">
      <c r="C1435"/>
      <c r="M1435"/>
    </row>
    <row r="1436" spans="3:13" ht="12.75" customHeight="1" x14ac:dyDescent="0.2">
      <c r="C1436"/>
      <c r="M1436"/>
    </row>
    <row r="1437" spans="3:13" ht="12.75" customHeight="1" x14ac:dyDescent="0.2">
      <c r="C1437"/>
      <c r="M1437"/>
    </row>
    <row r="1438" spans="3:13" ht="12.75" customHeight="1" x14ac:dyDescent="0.2">
      <c r="C1438"/>
      <c r="M1438"/>
    </row>
    <row r="1439" spans="3:13" ht="12.75" customHeight="1" x14ac:dyDescent="0.2">
      <c r="C1439"/>
      <c r="M1439"/>
    </row>
    <row r="1440" spans="3:13" ht="12.75" customHeight="1" x14ac:dyDescent="0.2">
      <c r="C1440"/>
      <c r="M1440"/>
    </row>
    <row r="1441" spans="3:13" ht="12.75" customHeight="1" x14ac:dyDescent="0.2">
      <c r="C1441"/>
      <c r="M1441"/>
    </row>
    <row r="1442" spans="3:13" ht="12.75" customHeight="1" x14ac:dyDescent="0.2">
      <c r="C1442"/>
      <c r="M1442"/>
    </row>
    <row r="1443" spans="3:13" ht="12.75" customHeight="1" x14ac:dyDescent="0.2">
      <c r="C1443"/>
      <c r="M1443"/>
    </row>
    <row r="1444" spans="3:13" ht="12.75" customHeight="1" x14ac:dyDescent="0.2">
      <c r="C1444"/>
      <c r="M1444"/>
    </row>
    <row r="1445" spans="3:13" ht="12.75" customHeight="1" x14ac:dyDescent="0.2">
      <c r="C1445"/>
      <c r="M1445"/>
    </row>
    <row r="1446" spans="3:13" ht="12.75" customHeight="1" x14ac:dyDescent="0.2">
      <c r="C1446"/>
      <c r="M1446"/>
    </row>
    <row r="1447" spans="3:13" ht="12.75" customHeight="1" x14ac:dyDescent="0.2">
      <c r="C1447"/>
      <c r="M1447"/>
    </row>
    <row r="1448" spans="3:13" ht="12.75" customHeight="1" x14ac:dyDescent="0.2">
      <c r="C1448"/>
      <c r="M1448"/>
    </row>
    <row r="1449" spans="3:13" ht="12.75" customHeight="1" x14ac:dyDescent="0.2">
      <c r="C1449"/>
      <c r="M1449"/>
    </row>
    <row r="1450" spans="3:13" ht="12.75" customHeight="1" x14ac:dyDescent="0.2">
      <c r="C1450"/>
      <c r="M1450"/>
    </row>
    <row r="1451" spans="3:13" ht="12.75" customHeight="1" x14ac:dyDescent="0.2">
      <c r="C1451"/>
      <c r="M1451"/>
    </row>
    <row r="1452" spans="3:13" ht="12.75" customHeight="1" x14ac:dyDescent="0.2">
      <c r="C1452"/>
      <c r="M1452"/>
    </row>
    <row r="1453" spans="3:13" ht="12.75" customHeight="1" x14ac:dyDescent="0.2">
      <c r="C1453"/>
      <c r="M1453"/>
    </row>
    <row r="1454" spans="3:13" ht="12.75" customHeight="1" x14ac:dyDescent="0.2">
      <c r="C1454"/>
      <c r="M1454"/>
    </row>
    <row r="1455" spans="3:13" ht="12.75" customHeight="1" x14ac:dyDescent="0.2">
      <c r="C1455"/>
      <c r="M1455"/>
    </row>
    <row r="1456" spans="3:13" ht="12.75" customHeight="1" x14ac:dyDescent="0.2">
      <c r="C1456"/>
      <c r="M1456"/>
    </row>
    <row r="1457" spans="3:13" ht="12.75" customHeight="1" x14ac:dyDescent="0.2">
      <c r="C1457"/>
      <c r="M1457"/>
    </row>
    <row r="1458" spans="3:13" ht="12.75" customHeight="1" x14ac:dyDescent="0.2">
      <c r="C1458"/>
      <c r="M1458"/>
    </row>
    <row r="1459" spans="3:13" ht="12.75" customHeight="1" x14ac:dyDescent="0.2">
      <c r="C1459"/>
      <c r="M1459"/>
    </row>
    <row r="1460" spans="3:13" ht="12.75" customHeight="1" x14ac:dyDescent="0.2">
      <c r="C1460"/>
      <c r="M1460"/>
    </row>
    <row r="1461" spans="3:13" ht="12.75" customHeight="1" x14ac:dyDescent="0.2">
      <c r="C1461"/>
      <c r="M1461"/>
    </row>
    <row r="1462" spans="3:13" ht="12.75" customHeight="1" x14ac:dyDescent="0.2">
      <c r="C1462"/>
      <c r="M1462"/>
    </row>
    <row r="1463" spans="3:13" ht="12.75" customHeight="1" x14ac:dyDescent="0.2">
      <c r="C1463"/>
      <c r="M1463"/>
    </row>
    <row r="1464" spans="3:13" ht="12.75" customHeight="1" x14ac:dyDescent="0.2">
      <c r="C1464"/>
      <c r="M1464"/>
    </row>
    <row r="1465" spans="3:13" ht="12.75" customHeight="1" x14ac:dyDescent="0.2">
      <c r="C1465"/>
      <c r="M1465"/>
    </row>
    <row r="1466" spans="3:13" ht="12.75" customHeight="1" x14ac:dyDescent="0.2">
      <c r="C1466"/>
      <c r="M1466"/>
    </row>
    <row r="1467" spans="3:13" ht="12.75" customHeight="1" x14ac:dyDescent="0.2">
      <c r="C1467"/>
      <c r="M1467"/>
    </row>
    <row r="1468" spans="3:13" ht="12.75" customHeight="1" x14ac:dyDescent="0.2">
      <c r="C1468"/>
      <c r="M1468"/>
    </row>
    <row r="1469" spans="3:13" ht="12.75" customHeight="1" x14ac:dyDescent="0.2">
      <c r="C1469"/>
      <c r="M1469"/>
    </row>
    <row r="1470" spans="3:13" ht="12.75" customHeight="1" x14ac:dyDescent="0.2">
      <c r="C1470"/>
      <c r="M1470"/>
    </row>
    <row r="1471" spans="3:13" ht="12.75" customHeight="1" x14ac:dyDescent="0.2">
      <c r="C1471"/>
      <c r="M1471"/>
    </row>
    <row r="1472" spans="3:13" ht="12.75" customHeight="1" x14ac:dyDescent="0.2">
      <c r="C1472"/>
      <c r="M1472"/>
    </row>
    <row r="1473" spans="3:13" ht="12.75" customHeight="1" x14ac:dyDescent="0.2">
      <c r="C1473"/>
      <c r="M1473"/>
    </row>
    <row r="1474" spans="3:13" ht="12.75" customHeight="1" x14ac:dyDescent="0.2">
      <c r="C1474"/>
      <c r="M1474"/>
    </row>
    <row r="1475" spans="3:13" ht="12.75" customHeight="1" x14ac:dyDescent="0.2">
      <c r="C1475"/>
      <c r="M1475"/>
    </row>
    <row r="1476" spans="3:13" ht="12.75" customHeight="1" x14ac:dyDescent="0.2">
      <c r="C1476"/>
      <c r="M1476"/>
    </row>
    <row r="1477" spans="3:13" ht="12.75" customHeight="1" x14ac:dyDescent="0.2">
      <c r="C1477"/>
      <c r="M1477"/>
    </row>
    <row r="1478" spans="3:13" ht="12.75" customHeight="1" x14ac:dyDescent="0.2">
      <c r="C1478"/>
      <c r="M1478"/>
    </row>
    <row r="1479" spans="3:13" ht="12.75" customHeight="1" x14ac:dyDescent="0.2">
      <c r="C1479"/>
      <c r="M1479"/>
    </row>
    <row r="1480" spans="3:13" ht="12.75" customHeight="1" x14ac:dyDescent="0.2">
      <c r="C1480"/>
      <c r="M1480"/>
    </row>
    <row r="1481" spans="3:13" ht="12.75" customHeight="1" x14ac:dyDescent="0.2">
      <c r="C1481"/>
      <c r="M1481"/>
    </row>
    <row r="1482" spans="3:13" ht="12.75" customHeight="1" x14ac:dyDescent="0.2">
      <c r="C1482"/>
      <c r="M1482"/>
    </row>
    <row r="1483" spans="3:13" ht="12.75" customHeight="1" x14ac:dyDescent="0.2">
      <c r="C1483"/>
      <c r="M1483"/>
    </row>
    <row r="1484" spans="3:13" ht="12.75" customHeight="1" x14ac:dyDescent="0.2">
      <c r="C1484"/>
      <c r="M1484"/>
    </row>
    <row r="1485" spans="3:13" ht="12.75" customHeight="1" x14ac:dyDescent="0.2">
      <c r="C1485"/>
      <c r="M1485"/>
    </row>
    <row r="1486" spans="3:13" ht="12.75" customHeight="1" x14ac:dyDescent="0.2">
      <c r="C1486"/>
      <c r="M1486"/>
    </row>
    <row r="1487" spans="3:13" ht="12.75" customHeight="1" x14ac:dyDescent="0.2">
      <c r="C1487"/>
      <c r="M1487"/>
    </row>
    <row r="1488" spans="3:13" ht="12.75" customHeight="1" x14ac:dyDescent="0.2">
      <c r="C1488"/>
      <c r="M1488"/>
    </row>
    <row r="1489" spans="3:13" ht="12.75" customHeight="1" x14ac:dyDescent="0.2">
      <c r="C1489"/>
      <c r="M1489"/>
    </row>
    <row r="1490" spans="3:13" ht="12.75" customHeight="1" x14ac:dyDescent="0.2">
      <c r="C1490"/>
      <c r="M1490"/>
    </row>
    <row r="1491" spans="3:13" ht="12.75" customHeight="1" x14ac:dyDescent="0.2">
      <c r="C1491"/>
      <c r="M1491"/>
    </row>
    <row r="1492" spans="3:13" ht="12.75" customHeight="1" x14ac:dyDescent="0.2">
      <c r="C1492"/>
      <c r="M1492"/>
    </row>
    <row r="1493" spans="3:13" ht="12.75" customHeight="1" x14ac:dyDescent="0.2">
      <c r="C1493"/>
      <c r="M1493"/>
    </row>
    <row r="1494" spans="3:13" ht="12.75" customHeight="1" x14ac:dyDescent="0.2">
      <c r="C1494"/>
      <c r="M1494"/>
    </row>
    <row r="1495" spans="3:13" ht="12.75" customHeight="1" x14ac:dyDescent="0.2">
      <c r="C1495"/>
      <c r="M1495"/>
    </row>
    <row r="1496" spans="3:13" ht="12.75" customHeight="1" x14ac:dyDescent="0.2">
      <c r="C1496"/>
      <c r="M1496"/>
    </row>
    <row r="1497" spans="3:13" ht="12.75" customHeight="1" x14ac:dyDescent="0.2">
      <c r="C1497"/>
      <c r="M1497"/>
    </row>
    <row r="1498" spans="3:13" ht="12.75" customHeight="1" x14ac:dyDescent="0.2">
      <c r="C1498"/>
      <c r="M1498"/>
    </row>
    <row r="1499" spans="3:13" ht="12.75" customHeight="1" x14ac:dyDescent="0.2">
      <c r="C1499"/>
      <c r="M1499"/>
    </row>
    <row r="1500" spans="3:13" ht="12.75" customHeight="1" x14ac:dyDescent="0.2">
      <c r="C1500"/>
      <c r="M1500"/>
    </row>
    <row r="1501" spans="3:13" ht="12.75" customHeight="1" x14ac:dyDescent="0.2">
      <c r="C1501"/>
      <c r="M1501"/>
    </row>
    <row r="1502" spans="3:13" ht="12.75" customHeight="1" x14ac:dyDescent="0.2">
      <c r="C1502"/>
      <c r="M1502"/>
    </row>
    <row r="1503" spans="3:13" ht="12.75" customHeight="1" x14ac:dyDescent="0.2">
      <c r="C1503"/>
      <c r="M1503"/>
    </row>
    <row r="1504" spans="3:13" ht="12.75" customHeight="1" x14ac:dyDescent="0.2">
      <c r="C1504"/>
      <c r="M1504"/>
    </row>
    <row r="1505" spans="3:13" ht="12.75" customHeight="1" x14ac:dyDescent="0.2">
      <c r="C1505"/>
      <c r="M1505"/>
    </row>
    <row r="1506" spans="3:13" ht="12.75" customHeight="1" x14ac:dyDescent="0.2">
      <c r="C1506"/>
      <c r="M1506"/>
    </row>
    <row r="1507" spans="3:13" ht="12.75" customHeight="1" x14ac:dyDescent="0.2">
      <c r="C1507"/>
      <c r="M1507"/>
    </row>
    <row r="1508" spans="3:13" ht="12.75" customHeight="1" x14ac:dyDescent="0.2">
      <c r="C1508"/>
      <c r="M1508"/>
    </row>
    <row r="1509" spans="3:13" ht="12.75" customHeight="1" x14ac:dyDescent="0.2">
      <c r="C1509"/>
      <c r="M1509"/>
    </row>
    <row r="1510" spans="3:13" ht="12.75" customHeight="1" x14ac:dyDescent="0.2">
      <c r="C1510"/>
      <c r="M1510"/>
    </row>
    <row r="1511" spans="3:13" ht="12.75" customHeight="1" x14ac:dyDescent="0.2">
      <c r="C1511"/>
      <c r="M1511"/>
    </row>
    <row r="1512" spans="3:13" ht="12.75" customHeight="1" x14ac:dyDescent="0.2">
      <c r="C1512"/>
      <c r="M1512"/>
    </row>
    <row r="1513" spans="3:13" ht="12.75" customHeight="1" x14ac:dyDescent="0.2">
      <c r="C1513"/>
      <c r="M1513"/>
    </row>
    <row r="1514" spans="3:13" ht="12.75" customHeight="1" x14ac:dyDescent="0.2">
      <c r="C1514"/>
      <c r="M1514"/>
    </row>
    <row r="1515" spans="3:13" ht="12.75" customHeight="1" x14ac:dyDescent="0.2">
      <c r="C1515"/>
      <c r="M1515"/>
    </row>
    <row r="1516" spans="3:13" ht="12.75" customHeight="1" x14ac:dyDescent="0.2">
      <c r="C1516"/>
      <c r="M1516"/>
    </row>
    <row r="1517" spans="3:13" ht="12.75" customHeight="1" x14ac:dyDescent="0.2">
      <c r="C1517"/>
      <c r="M1517"/>
    </row>
    <row r="1518" spans="3:13" ht="12.75" customHeight="1" x14ac:dyDescent="0.2">
      <c r="C1518"/>
      <c r="M1518"/>
    </row>
    <row r="1519" spans="3:13" ht="12.75" customHeight="1" x14ac:dyDescent="0.2">
      <c r="C1519"/>
      <c r="M1519"/>
    </row>
    <row r="1520" spans="3:13" ht="12.75" customHeight="1" x14ac:dyDescent="0.2">
      <c r="C1520"/>
      <c r="M1520"/>
    </row>
    <row r="1521" spans="3:13" ht="12.75" customHeight="1" x14ac:dyDescent="0.2">
      <c r="C1521"/>
      <c r="M1521"/>
    </row>
    <row r="1522" spans="3:13" ht="12.75" customHeight="1" x14ac:dyDescent="0.2">
      <c r="C1522"/>
      <c r="M1522"/>
    </row>
    <row r="1523" spans="3:13" ht="12.75" customHeight="1" x14ac:dyDescent="0.2">
      <c r="C1523"/>
      <c r="M1523"/>
    </row>
    <row r="1524" spans="3:13" ht="12.75" customHeight="1" x14ac:dyDescent="0.2">
      <c r="C1524"/>
      <c r="M1524"/>
    </row>
    <row r="1525" spans="3:13" ht="12.75" customHeight="1" x14ac:dyDescent="0.2">
      <c r="C1525"/>
      <c r="M1525"/>
    </row>
    <row r="1526" spans="3:13" ht="12.75" customHeight="1" x14ac:dyDescent="0.2">
      <c r="C1526"/>
      <c r="M1526"/>
    </row>
    <row r="1527" spans="3:13" ht="12.75" customHeight="1" x14ac:dyDescent="0.2">
      <c r="C1527"/>
      <c r="M1527"/>
    </row>
    <row r="1528" spans="3:13" ht="12.75" customHeight="1" x14ac:dyDescent="0.2">
      <c r="C1528"/>
      <c r="M1528"/>
    </row>
    <row r="1529" spans="3:13" ht="12.75" customHeight="1" x14ac:dyDescent="0.2">
      <c r="C1529"/>
      <c r="M1529"/>
    </row>
    <row r="1530" spans="3:13" ht="12.75" customHeight="1" x14ac:dyDescent="0.2">
      <c r="C1530"/>
      <c r="M1530"/>
    </row>
    <row r="1531" spans="3:13" ht="12.75" customHeight="1" x14ac:dyDescent="0.2">
      <c r="C1531"/>
      <c r="M1531"/>
    </row>
    <row r="1532" spans="3:13" ht="12.75" customHeight="1" x14ac:dyDescent="0.2">
      <c r="C1532"/>
      <c r="M1532"/>
    </row>
    <row r="1533" spans="3:13" ht="12.75" customHeight="1" x14ac:dyDescent="0.2">
      <c r="C1533"/>
      <c r="M1533"/>
    </row>
    <row r="1534" spans="3:13" ht="12.75" customHeight="1" x14ac:dyDescent="0.2">
      <c r="C1534"/>
      <c r="M1534"/>
    </row>
    <row r="1535" spans="3:13" ht="12.75" customHeight="1" x14ac:dyDescent="0.2">
      <c r="C1535"/>
      <c r="M1535"/>
    </row>
    <row r="1536" spans="3:13" ht="12.75" customHeight="1" x14ac:dyDescent="0.2">
      <c r="C1536"/>
      <c r="M1536"/>
    </row>
    <row r="1537" spans="3:13" ht="12.75" customHeight="1" x14ac:dyDescent="0.2">
      <c r="C1537"/>
      <c r="M1537"/>
    </row>
    <row r="1538" spans="3:13" ht="12.75" customHeight="1" x14ac:dyDescent="0.2">
      <c r="C1538"/>
      <c r="M1538"/>
    </row>
    <row r="1539" spans="3:13" ht="12.75" customHeight="1" x14ac:dyDescent="0.2">
      <c r="C1539"/>
      <c r="M1539"/>
    </row>
    <row r="1540" spans="3:13" ht="12.75" customHeight="1" x14ac:dyDescent="0.2">
      <c r="C1540"/>
      <c r="M1540"/>
    </row>
    <row r="1541" spans="3:13" ht="12.75" customHeight="1" x14ac:dyDescent="0.2">
      <c r="C1541"/>
      <c r="M1541"/>
    </row>
    <row r="1542" spans="3:13" ht="12.75" customHeight="1" x14ac:dyDescent="0.2">
      <c r="C1542"/>
      <c r="M1542"/>
    </row>
    <row r="1543" spans="3:13" ht="12.75" customHeight="1" x14ac:dyDescent="0.2">
      <c r="C1543"/>
      <c r="M1543"/>
    </row>
    <row r="1544" spans="3:13" ht="12.75" customHeight="1" x14ac:dyDescent="0.2">
      <c r="C1544"/>
      <c r="M1544"/>
    </row>
    <row r="1545" spans="3:13" ht="12.75" customHeight="1" x14ac:dyDescent="0.2">
      <c r="C1545"/>
      <c r="M1545"/>
    </row>
    <row r="1546" spans="3:13" ht="12.75" customHeight="1" x14ac:dyDescent="0.2">
      <c r="C1546"/>
      <c r="M1546"/>
    </row>
    <row r="1547" spans="3:13" ht="12.75" customHeight="1" x14ac:dyDescent="0.2">
      <c r="C1547"/>
      <c r="M1547"/>
    </row>
    <row r="1548" spans="3:13" ht="12.75" customHeight="1" x14ac:dyDescent="0.2">
      <c r="C1548"/>
      <c r="M1548"/>
    </row>
    <row r="1549" spans="3:13" ht="12.75" customHeight="1" x14ac:dyDescent="0.2">
      <c r="C1549"/>
      <c r="M1549"/>
    </row>
    <row r="1550" spans="3:13" ht="12.75" customHeight="1" x14ac:dyDescent="0.2">
      <c r="C1550"/>
      <c r="M1550"/>
    </row>
    <row r="1551" spans="3:13" ht="12.75" customHeight="1" x14ac:dyDescent="0.2">
      <c r="C1551"/>
      <c r="M1551"/>
    </row>
    <row r="1552" spans="3:13" ht="12.75" customHeight="1" x14ac:dyDescent="0.2">
      <c r="C1552"/>
      <c r="M1552"/>
    </row>
    <row r="1553" spans="3:13" ht="12.75" customHeight="1" x14ac:dyDescent="0.2">
      <c r="C1553"/>
      <c r="M1553"/>
    </row>
    <row r="1554" spans="3:13" ht="12.75" customHeight="1" x14ac:dyDescent="0.2">
      <c r="C1554"/>
      <c r="M1554"/>
    </row>
    <row r="1555" spans="3:13" ht="12.75" customHeight="1" x14ac:dyDescent="0.2">
      <c r="C1555"/>
      <c r="M1555"/>
    </row>
    <row r="1556" spans="3:13" ht="12.75" customHeight="1" x14ac:dyDescent="0.2">
      <c r="C1556"/>
      <c r="M1556"/>
    </row>
    <row r="1557" spans="3:13" ht="12.75" customHeight="1" x14ac:dyDescent="0.2">
      <c r="C1557"/>
      <c r="M1557"/>
    </row>
    <row r="1558" spans="3:13" ht="12.75" customHeight="1" x14ac:dyDescent="0.2">
      <c r="C1558"/>
      <c r="M1558"/>
    </row>
    <row r="1559" spans="3:13" ht="12.75" customHeight="1" x14ac:dyDescent="0.2">
      <c r="C1559"/>
      <c r="M1559"/>
    </row>
    <row r="1560" spans="3:13" ht="12.75" customHeight="1" x14ac:dyDescent="0.2">
      <c r="C1560"/>
      <c r="M1560"/>
    </row>
    <row r="1561" spans="3:13" ht="12.75" customHeight="1" x14ac:dyDescent="0.2">
      <c r="C1561"/>
      <c r="M1561"/>
    </row>
    <row r="1562" spans="3:13" ht="12.75" customHeight="1" x14ac:dyDescent="0.2">
      <c r="C1562"/>
      <c r="M1562"/>
    </row>
    <row r="1563" spans="3:13" ht="12.75" customHeight="1" x14ac:dyDescent="0.2">
      <c r="C1563"/>
      <c r="M1563"/>
    </row>
    <row r="1564" spans="3:13" ht="12.75" customHeight="1" x14ac:dyDescent="0.2">
      <c r="C1564"/>
      <c r="M1564"/>
    </row>
    <row r="1565" spans="3:13" ht="12.75" customHeight="1" x14ac:dyDescent="0.2">
      <c r="C1565"/>
      <c r="M1565"/>
    </row>
    <row r="1566" spans="3:13" ht="12.75" customHeight="1" x14ac:dyDescent="0.2">
      <c r="C1566"/>
      <c r="M1566"/>
    </row>
    <row r="1567" spans="3:13" ht="12.75" customHeight="1" x14ac:dyDescent="0.2">
      <c r="C1567"/>
      <c r="M1567"/>
    </row>
    <row r="1568" spans="3:13" ht="12.75" customHeight="1" x14ac:dyDescent="0.2">
      <c r="C1568"/>
      <c r="M1568"/>
    </row>
    <row r="1569" spans="3:13" ht="12.75" customHeight="1" x14ac:dyDescent="0.2">
      <c r="C1569"/>
      <c r="M1569"/>
    </row>
    <row r="1570" spans="3:13" ht="12.75" customHeight="1" x14ac:dyDescent="0.2">
      <c r="C1570"/>
      <c r="M1570"/>
    </row>
    <row r="1571" spans="3:13" ht="12.75" customHeight="1" x14ac:dyDescent="0.2">
      <c r="C1571"/>
      <c r="M1571"/>
    </row>
    <row r="1572" spans="3:13" ht="12.75" customHeight="1" x14ac:dyDescent="0.2">
      <c r="C1572"/>
      <c r="M1572"/>
    </row>
    <row r="1573" spans="3:13" ht="12.75" customHeight="1" x14ac:dyDescent="0.2">
      <c r="C1573"/>
      <c r="M1573"/>
    </row>
    <row r="1574" spans="3:13" ht="12.75" customHeight="1" x14ac:dyDescent="0.2">
      <c r="C1574"/>
      <c r="M1574"/>
    </row>
    <row r="1575" spans="3:13" ht="12.75" customHeight="1" x14ac:dyDescent="0.2">
      <c r="C1575"/>
      <c r="M1575"/>
    </row>
    <row r="1576" spans="3:13" ht="12.75" customHeight="1" x14ac:dyDescent="0.2">
      <c r="C1576"/>
      <c r="M1576"/>
    </row>
    <row r="1577" spans="3:13" ht="12.75" customHeight="1" x14ac:dyDescent="0.2">
      <c r="C1577"/>
      <c r="M1577"/>
    </row>
    <row r="1578" spans="3:13" ht="12.75" customHeight="1" x14ac:dyDescent="0.2">
      <c r="C1578"/>
      <c r="M1578"/>
    </row>
    <row r="1579" spans="3:13" ht="12.75" customHeight="1" x14ac:dyDescent="0.2">
      <c r="C1579"/>
      <c r="M1579"/>
    </row>
    <row r="1580" spans="3:13" ht="12.75" customHeight="1" x14ac:dyDescent="0.2">
      <c r="C1580"/>
      <c r="M1580"/>
    </row>
    <row r="1581" spans="3:13" ht="12.75" customHeight="1" x14ac:dyDescent="0.2">
      <c r="C1581"/>
      <c r="M1581"/>
    </row>
    <row r="1582" spans="3:13" ht="12.75" customHeight="1" x14ac:dyDescent="0.2">
      <c r="C1582"/>
      <c r="M1582"/>
    </row>
    <row r="1583" spans="3:13" ht="12.75" customHeight="1" x14ac:dyDescent="0.2">
      <c r="C1583"/>
      <c r="M1583"/>
    </row>
    <row r="1584" spans="3:13" ht="12.75" customHeight="1" x14ac:dyDescent="0.2">
      <c r="C1584"/>
      <c r="M1584"/>
    </row>
    <row r="1585" spans="3:13" ht="12.75" customHeight="1" x14ac:dyDescent="0.2">
      <c r="C1585"/>
      <c r="M1585"/>
    </row>
    <row r="1586" spans="3:13" ht="12.75" customHeight="1" x14ac:dyDescent="0.2">
      <c r="C1586"/>
      <c r="M1586"/>
    </row>
    <row r="1587" spans="3:13" ht="12.75" customHeight="1" x14ac:dyDescent="0.2">
      <c r="C1587"/>
      <c r="M1587"/>
    </row>
    <row r="1588" spans="3:13" ht="12.75" customHeight="1" x14ac:dyDescent="0.2">
      <c r="C1588"/>
      <c r="M1588"/>
    </row>
    <row r="1589" spans="3:13" ht="12.75" customHeight="1" x14ac:dyDescent="0.2">
      <c r="C1589"/>
      <c r="M1589"/>
    </row>
    <row r="1590" spans="3:13" ht="12.75" customHeight="1" x14ac:dyDescent="0.2">
      <c r="C1590"/>
      <c r="M1590"/>
    </row>
    <row r="1591" spans="3:13" ht="12.75" customHeight="1" x14ac:dyDescent="0.2">
      <c r="C1591"/>
      <c r="M1591"/>
    </row>
    <row r="1592" spans="3:13" ht="12.75" customHeight="1" x14ac:dyDescent="0.2">
      <c r="C1592"/>
      <c r="M1592"/>
    </row>
    <row r="1593" spans="3:13" ht="12.75" customHeight="1" x14ac:dyDescent="0.2">
      <c r="C1593"/>
      <c r="M1593"/>
    </row>
    <row r="1594" spans="3:13" ht="12.75" customHeight="1" x14ac:dyDescent="0.2">
      <c r="C1594"/>
      <c r="M1594"/>
    </row>
    <row r="1595" spans="3:13" ht="12.75" customHeight="1" x14ac:dyDescent="0.2">
      <c r="C1595"/>
      <c r="M1595"/>
    </row>
    <row r="1596" spans="3:13" ht="12.75" customHeight="1" x14ac:dyDescent="0.2">
      <c r="C1596"/>
      <c r="M1596"/>
    </row>
    <row r="1597" spans="3:13" ht="12.75" customHeight="1" x14ac:dyDescent="0.2">
      <c r="C1597"/>
      <c r="M1597"/>
    </row>
    <row r="1598" spans="3:13" ht="12.75" customHeight="1" x14ac:dyDescent="0.2">
      <c r="C1598"/>
      <c r="M1598"/>
    </row>
    <row r="1599" spans="3:13" ht="12.75" customHeight="1" x14ac:dyDescent="0.2">
      <c r="C1599"/>
      <c r="M1599"/>
    </row>
    <row r="1600" spans="3:13" ht="12.75" customHeight="1" x14ac:dyDescent="0.2">
      <c r="C1600"/>
      <c r="M1600"/>
    </row>
    <row r="1601" spans="3:13" ht="12.75" customHeight="1" x14ac:dyDescent="0.2">
      <c r="C1601"/>
      <c r="M1601"/>
    </row>
    <row r="1602" spans="3:13" ht="12.75" customHeight="1" x14ac:dyDescent="0.2">
      <c r="C1602"/>
      <c r="M1602"/>
    </row>
    <row r="1603" spans="3:13" ht="12.75" customHeight="1" x14ac:dyDescent="0.2">
      <c r="C1603"/>
      <c r="M1603"/>
    </row>
    <row r="1604" spans="3:13" ht="12.75" customHeight="1" x14ac:dyDescent="0.2">
      <c r="C1604"/>
      <c r="M1604"/>
    </row>
    <row r="1605" spans="3:13" ht="12.75" customHeight="1" x14ac:dyDescent="0.2">
      <c r="C1605"/>
      <c r="M1605"/>
    </row>
    <row r="1606" spans="3:13" ht="12.75" customHeight="1" x14ac:dyDescent="0.2">
      <c r="C1606"/>
      <c r="M1606"/>
    </row>
    <row r="1607" spans="3:13" ht="12.75" customHeight="1" x14ac:dyDescent="0.2">
      <c r="C1607"/>
      <c r="M1607"/>
    </row>
    <row r="1608" spans="3:13" ht="12.75" customHeight="1" x14ac:dyDescent="0.2">
      <c r="C1608"/>
      <c r="M1608"/>
    </row>
    <row r="1609" spans="3:13" ht="12.75" customHeight="1" x14ac:dyDescent="0.2">
      <c r="C1609"/>
      <c r="M1609"/>
    </row>
    <row r="1610" spans="3:13" ht="12.75" customHeight="1" x14ac:dyDescent="0.2">
      <c r="C1610"/>
      <c r="M1610"/>
    </row>
    <row r="1611" spans="3:13" ht="12.75" customHeight="1" x14ac:dyDescent="0.2">
      <c r="C1611"/>
      <c r="M1611"/>
    </row>
    <row r="1612" spans="3:13" ht="12.75" customHeight="1" x14ac:dyDescent="0.2">
      <c r="C1612"/>
      <c r="M1612"/>
    </row>
    <row r="1613" spans="3:13" ht="12.75" customHeight="1" x14ac:dyDescent="0.2">
      <c r="C1613"/>
      <c r="M1613"/>
    </row>
    <row r="1614" spans="3:13" ht="12.75" customHeight="1" x14ac:dyDescent="0.2">
      <c r="C1614"/>
      <c r="M1614"/>
    </row>
    <row r="1615" spans="3:13" ht="12.75" customHeight="1" x14ac:dyDescent="0.2">
      <c r="C1615"/>
      <c r="M1615"/>
    </row>
    <row r="1616" spans="3:13" ht="12.75" customHeight="1" x14ac:dyDescent="0.2">
      <c r="C1616"/>
      <c r="M1616"/>
    </row>
    <row r="1617" spans="3:13" ht="12.75" customHeight="1" x14ac:dyDescent="0.2">
      <c r="C1617"/>
      <c r="M1617"/>
    </row>
    <row r="1618" spans="3:13" ht="12.75" customHeight="1" x14ac:dyDescent="0.2">
      <c r="C1618"/>
      <c r="M1618"/>
    </row>
    <row r="1619" spans="3:13" ht="12.75" customHeight="1" x14ac:dyDescent="0.2">
      <c r="C1619"/>
      <c r="M1619"/>
    </row>
    <row r="1620" spans="3:13" ht="12.75" customHeight="1" x14ac:dyDescent="0.2">
      <c r="C1620"/>
      <c r="M1620"/>
    </row>
    <row r="1621" spans="3:13" ht="12.75" customHeight="1" x14ac:dyDescent="0.2">
      <c r="C1621"/>
      <c r="M1621"/>
    </row>
    <row r="1622" spans="3:13" ht="12.75" customHeight="1" x14ac:dyDescent="0.2">
      <c r="C1622"/>
      <c r="M1622"/>
    </row>
    <row r="1623" spans="3:13" ht="12.75" customHeight="1" x14ac:dyDescent="0.2">
      <c r="C1623"/>
      <c r="M1623"/>
    </row>
    <row r="1624" spans="3:13" ht="12.75" customHeight="1" x14ac:dyDescent="0.2">
      <c r="C1624"/>
      <c r="M1624"/>
    </row>
    <row r="1625" spans="3:13" ht="12.75" customHeight="1" x14ac:dyDescent="0.2">
      <c r="C1625"/>
      <c r="M1625"/>
    </row>
    <row r="1626" spans="3:13" ht="12.75" customHeight="1" x14ac:dyDescent="0.2">
      <c r="C1626"/>
      <c r="M1626"/>
    </row>
    <row r="1627" spans="3:13" ht="12.75" customHeight="1" x14ac:dyDescent="0.2">
      <c r="C1627"/>
      <c r="M1627"/>
    </row>
    <row r="1628" spans="3:13" ht="12.75" customHeight="1" x14ac:dyDescent="0.2">
      <c r="C1628"/>
      <c r="M1628"/>
    </row>
    <row r="1629" spans="3:13" ht="12.75" customHeight="1" x14ac:dyDescent="0.2">
      <c r="C1629"/>
      <c r="M1629"/>
    </row>
    <row r="1630" spans="3:13" ht="12.75" customHeight="1" x14ac:dyDescent="0.2">
      <c r="C1630"/>
      <c r="M1630"/>
    </row>
    <row r="1631" spans="3:13" ht="12.75" customHeight="1" x14ac:dyDescent="0.2">
      <c r="C1631"/>
      <c r="M1631"/>
    </row>
    <row r="1632" spans="3:13" ht="12.75" customHeight="1" x14ac:dyDescent="0.2">
      <c r="C1632"/>
      <c r="M1632"/>
    </row>
    <row r="1633" spans="3:13" ht="12.75" customHeight="1" x14ac:dyDescent="0.2">
      <c r="C1633"/>
      <c r="M1633"/>
    </row>
    <row r="1634" spans="3:13" ht="12.75" customHeight="1" x14ac:dyDescent="0.2">
      <c r="C1634"/>
      <c r="M1634"/>
    </row>
    <row r="1635" spans="3:13" ht="12.75" customHeight="1" x14ac:dyDescent="0.2">
      <c r="C1635"/>
      <c r="M1635"/>
    </row>
    <row r="1636" spans="3:13" ht="12.75" customHeight="1" x14ac:dyDescent="0.2">
      <c r="C1636"/>
      <c r="M1636"/>
    </row>
    <row r="1637" spans="3:13" ht="12.75" customHeight="1" x14ac:dyDescent="0.2">
      <c r="C1637"/>
      <c r="M1637"/>
    </row>
    <row r="1638" spans="3:13" ht="12.75" customHeight="1" x14ac:dyDescent="0.2">
      <c r="C1638"/>
      <c r="M1638"/>
    </row>
    <row r="1639" spans="3:13" ht="12.75" customHeight="1" x14ac:dyDescent="0.2">
      <c r="C1639"/>
      <c r="M1639"/>
    </row>
    <row r="1640" spans="3:13" ht="12.75" customHeight="1" x14ac:dyDescent="0.2">
      <c r="C1640"/>
      <c r="M1640"/>
    </row>
    <row r="1641" spans="3:13" ht="12.75" customHeight="1" x14ac:dyDescent="0.2">
      <c r="C1641"/>
      <c r="M1641"/>
    </row>
    <row r="1642" spans="3:13" ht="12.75" customHeight="1" x14ac:dyDescent="0.2">
      <c r="C1642"/>
      <c r="M1642"/>
    </row>
    <row r="1643" spans="3:13" ht="12.75" customHeight="1" x14ac:dyDescent="0.2">
      <c r="C1643"/>
      <c r="M1643"/>
    </row>
    <row r="1644" spans="3:13" ht="12.75" customHeight="1" x14ac:dyDescent="0.2">
      <c r="C1644"/>
      <c r="M1644"/>
    </row>
    <row r="1645" spans="3:13" ht="12.75" customHeight="1" x14ac:dyDescent="0.2">
      <c r="C1645"/>
      <c r="M1645"/>
    </row>
    <row r="1646" spans="3:13" ht="12.75" customHeight="1" x14ac:dyDescent="0.2">
      <c r="C1646"/>
      <c r="M1646"/>
    </row>
    <row r="1647" spans="3:13" ht="12.75" customHeight="1" x14ac:dyDescent="0.2">
      <c r="C1647"/>
      <c r="M1647"/>
    </row>
    <row r="1648" spans="3:13" ht="12.75" customHeight="1" x14ac:dyDescent="0.2">
      <c r="C1648"/>
      <c r="M1648"/>
    </row>
    <row r="1649" spans="3:13" ht="12.75" customHeight="1" x14ac:dyDescent="0.2">
      <c r="C1649"/>
      <c r="M1649"/>
    </row>
    <row r="1650" spans="3:13" ht="12.75" customHeight="1" x14ac:dyDescent="0.2">
      <c r="C1650"/>
      <c r="M1650"/>
    </row>
    <row r="1651" spans="3:13" ht="12.75" customHeight="1" x14ac:dyDescent="0.2">
      <c r="C1651"/>
      <c r="M1651"/>
    </row>
    <row r="1652" spans="3:13" ht="12.75" customHeight="1" x14ac:dyDescent="0.2">
      <c r="C1652"/>
      <c r="M1652"/>
    </row>
    <row r="1653" spans="3:13" ht="12.75" customHeight="1" x14ac:dyDescent="0.2">
      <c r="C1653"/>
      <c r="M1653"/>
    </row>
    <row r="1654" spans="3:13" ht="12.75" customHeight="1" x14ac:dyDescent="0.2">
      <c r="C1654"/>
      <c r="M1654"/>
    </row>
    <row r="1655" spans="3:13" ht="12.75" customHeight="1" x14ac:dyDescent="0.2">
      <c r="C1655"/>
      <c r="M1655"/>
    </row>
    <row r="1656" spans="3:13" ht="12.75" customHeight="1" x14ac:dyDescent="0.2">
      <c r="C1656"/>
      <c r="M1656"/>
    </row>
    <row r="1657" spans="3:13" ht="12.75" customHeight="1" x14ac:dyDescent="0.2">
      <c r="C1657"/>
      <c r="M1657"/>
    </row>
    <row r="1658" spans="3:13" ht="12.75" customHeight="1" x14ac:dyDescent="0.2">
      <c r="C1658"/>
      <c r="M1658"/>
    </row>
    <row r="1659" spans="3:13" ht="12.75" customHeight="1" x14ac:dyDescent="0.2">
      <c r="C1659"/>
      <c r="M1659"/>
    </row>
    <row r="1660" spans="3:13" ht="12.75" customHeight="1" x14ac:dyDescent="0.2">
      <c r="C1660"/>
      <c r="M1660"/>
    </row>
    <row r="1661" spans="3:13" ht="12.75" customHeight="1" x14ac:dyDescent="0.2">
      <c r="C1661"/>
      <c r="M1661"/>
    </row>
    <row r="1662" spans="3:13" ht="12.75" customHeight="1" x14ac:dyDescent="0.2">
      <c r="C1662"/>
      <c r="M1662"/>
    </row>
    <row r="1663" spans="3:13" ht="12.75" customHeight="1" x14ac:dyDescent="0.2">
      <c r="C1663"/>
      <c r="M1663"/>
    </row>
    <row r="1664" spans="3:13" ht="12.75" customHeight="1" x14ac:dyDescent="0.2">
      <c r="C1664"/>
      <c r="M1664"/>
    </row>
    <row r="1665" spans="3:13" ht="12.75" customHeight="1" x14ac:dyDescent="0.2">
      <c r="C1665"/>
      <c r="M1665"/>
    </row>
    <row r="1666" spans="3:13" ht="12.75" customHeight="1" x14ac:dyDescent="0.2">
      <c r="C1666"/>
      <c r="M1666"/>
    </row>
    <row r="1667" spans="3:13" ht="12.75" customHeight="1" x14ac:dyDescent="0.2">
      <c r="C1667"/>
      <c r="M1667"/>
    </row>
    <row r="1668" spans="3:13" ht="12.75" customHeight="1" x14ac:dyDescent="0.2">
      <c r="C1668"/>
      <c r="M1668"/>
    </row>
    <row r="1669" spans="3:13" ht="12.75" customHeight="1" x14ac:dyDescent="0.2">
      <c r="C1669"/>
      <c r="M1669"/>
    </row>
    <row r="1670" spans="3:13" ht="12.75" customHeight="1" x14ac:dyDescent="0.2">
      <c r="C1670"/>
      <c r="M1670"/>
    </row>
    <row r="1671" spans="3:13" ht="12.75" customHeight="1" x14ac:dyDescent="0.2">
      <c r="C1671"/>
      <c r="M1671"/>
    </row>
    <row r="1672" spans="3:13" ht="12.75" customHeight="1" x14ac:dyDescent="0.2">
      <c r="C1672"/>
      <c r="M1672"/>
    </row>
    <row r="1673" spans="3:13" ht="12.75" customHeight="1" x14ac:dyDescent="0.2">
      <c r="C1673"/>
      <c r="M1673"/>
    </row>
    <row r="1674" spans="3:13" ht="12.75" customHeight="1" x14ac:dyDescent="0.2">
      <c r="C1674"/>
      <c r="M1674"/>
    </row>
    <row r="1675" spans="3:13" ht="12.75" customHeight="1" x14ac:dyDescent="0.2">
      <c r="C1675"/>
      <c r="M1675"/>
    </row>
    <row r="1676" spans="3:13" ht="12.75" customHeight="1" x14ac:dyDescent="0.2">
      <c r="C1676"/>
      <c r="M1676"/>
    </row>
    <row r="1677" spans="3:13" ht="12.75" customHeight="1" x14ac:dyDescent="0.2">
      <c r="C1677"/>
      <c r="M1677"/>
    </row>
    <row r="1678" spans="3:13" ht="12.75" customHeight="1" x14ac:dyDescent="0.2">
      <c r="C1678"/>
      <c r="M1678"/>
    </row>
    <row r="1679" spans="3:13" ht="12.75" customHeight="1" x14ac:dyDescent="0.2">
      <c r="C1679"/>
      <c r="M1679"/>
    </row>
    <row r="1680" spans="3:13" ht="12.75" customHeight="1" x14ac:dyDescent="0.2">
      <c r="C1680"/>
      <c r="M1680"/>
    </row>
    <row r="1681" spans="3:13" ht="12.75" customHeight="1" x14ac:dyDescent="0.2">
      <c r="C1681"/>
      <c r="M1681"/>
    </row>
    <row r="1682" spans="3:13" ht="12.75" customHeight="1" x14ac:dyDescent="0.2">
      <c r="C1682"/>
      <c r="M1682"/>
    </row>
    <row r="1683" spans="3:13" ht="12.75" customHeight="1" x14ac:dyDescent="0.2">
      <c r="C1683"/>
      <c r="M1683"/>
    </row>
    <row r="1684" spans="3:13" ht="12.75" customHeight="1" x14ac:dyDescent="0.2">
      <c r="C1684"/>
      <c r="M1684"/>
    </row>
    <row r="1685" spans="3:13" ht="12.75" customHeight="1" x14ac:dyDescent="0.2">
      <c r="C1685"/>
      <c r="M1685"/>
    </row>
    <row r="1686" spans="3:13" ht="12.75" customHeight="1" x14ac:dyDescent="0.2">
      <c r="C1686"/>
      <c r="M1686"/>
    </row>
    <row r="1687" spans="3:13" ht="12.75" customHeight="1" x14ac:dyDescent="0.2">
      <c r="C1687"/>
      <c r="M1687"/>
    </row>
    <row r="1688" spans="3:13" ht="12.75" customHeight="1" x14ac:dyDescent="0.2">
      <c r="C1688"/>
      <c r="M1688"/>
    </row>
    <row r="1689" spans="3:13" ht="12.75" customHeight="1" x14ac:dyDescent="0.2">
      <c r="C1689"/>
      <c r="M1689"/>
    </row>
    <row r="1690" spans="3:13" ht="12.75" customHeight="1" x14ac:dyDescent="0.2">
      <c r="C1690"/>
      <c r="M1690"/>
    </row>
    <row r="1691" spans="3:13" ht="12.75" customHeight="1" x14ac:dyDescent="0.2">
      <c r="C1691"/>
      <c r="M1691"/>
    </row>
    <row r="1692" spans="3:13" ht="12.75" customHeight="1" x14ac:dyDescent="0.2">
      <c r="C1692"/>
      <c r="M1692"/>
    </row>
    <row r="1693" spans="3:13" ht="12.75" customHeight="1" x14ac:dyDescent="0.2">
      <c r="C1693"/>
      <c r="M1693"/>
    </row>
    <row r="1694" spans="3:13" ht="12.75" customHeight="1" x14ac:dyDescent="0.2">
      <c r="C1694"/>
      <c r="M1694"/>
    </row>
    <row r="1695" spans="3:13" ht="12.75" customHeight="1" x14ac:dyDescent="0.2">
      <c r="C1695"/>
      <c r="M1695"/>
    </row>
    <row r="1696" spans="3:13" ht="12.75" customHeight="1" x14ac:dyDescent="0.2">
      <c r="C1696"/>
      <c r="M1696"/>
    </row>
    <row r="1697" spans="3:13" ht="12.75" customHeight="1" x14ac:dyDescent="0.2">
      <c r="C1697"/>
      <c r="M1697"/>
    </row>
    <row r="1698" spans="3:13" ht="12.75" customHeight="1" x14ac:dyDescent="0.2">
      <c r="C1698"/>
      <c r="M1698"/>
    </row>
    <row r="1699" spans="3:13" ht="12.75" customHeight="1" x14ac:dyDescent="0.2">
      <c r="C1699"/>
      <c r="M1699"/>
    </row>
    <row r="1700" spans="3:13" ht="12.75" customHeight="1" x14ac:dyDescent="0.2">
      <c r="C1700"/>
      <c r="M1700"/>
    </row>
    <row r="1701" spans="3:13" ht="12.75" customHeight="1" x14ac:dyDescent="0.2">
      <c r="C1701"/>
      <c r="M1701"/>
    </row>
    <row r="1702" spans="3:13" ht="12.75" customHeight="1" x14ac:dyDescent="0.2">
      <c r="C1702"/>
      <c r="M1702"/>
    </row>
    <row r="1703" spans="3:13" ht="12.75" customHeight="1" x14ac:dyDescent="0.2">
      <c r="C1703"/>
      <c r="M1703"/>
    </row>
    <row r="1704" spans="3:13" ht="12.75" customHeight="1" x14ac:dyDescent="0.2">
      <c r="C1704"/>
      <c r="M1704"/>
    </row>
    <row r="1705" spans="3:13" ht="12.75" customHeight="1" x14ac:dyDescent="0.2">
      <c r="C1705"/>
      <c r="M1705"/>
    </row>
    <row r="1706" spans="3:13" ht="12.75" customHeight="1" x14ac:dyDescent="0.2">
      <c r="C1706"/>
      <c r="M1706"/>
    </row>
    <row r="1707" spans="3:13" ht="12.75" customHeight="1" x14ac:dyDescent="0.2">
      <c r="C1707"/>
      <c r="M1707"/>
    </row>
    <row r="1708" spans="3:13" ht="12.75" customHeight="1" x14ac:dyDescent="0.2">
      <c r="C1708"/>
      <c r="M1708"/>
    </row>
    <row r="1709" spans="3:13" ht="12.75" customHeight="1" x14ac:dyDescent="0.2">
      <c r="C1709"/>
      <c r="M1709"/>
    </row>
    <row r="1710" spans="3:13" ht="12.75" customHeight="1" x14ac:dyDescent="0.2">
      <c r="C1710"/>
      <c r="M1710"/>
    </row>
    <row r="1711" spans="3:13" ht="12.75" customHeight="1" x14ac:dyDescent="0.2">
      <c r="C1711"/>
      <c r="M1711"/>
    </row>
    <row r="1712" spans="3:13" ht="12.75" customHeight="1" x14ac:dyDescent="0.2">
      <c r="C1712"/>
      <c r="M1712"/>
    </row>
    <row r="1713" spans="3:13" ht="12.75" customHeight="1" x14ac:dyDescent="0.2">
      <c r="C1713"/>
      <c r="M1713"/>
    </row>
    <row r="1714" spans="3:13" ht="12.75" customHeight="1" x14ac:dyDescent="0.2">
      <c r="C1714"/>
      <c r="M1714"/>
    </row>
    <row r="1715" spans="3:13" ht="12.75" customHeight="1" x14ac:dyDescent="0.2">
      <c r="C1715"/>
      <c r="M1715"/>
    </row>
    <row r="1716" spans="3:13" ht="12.75" customHeight="1" x14ac:dyDescent="0.2">
      <c r="C1716"/>
      <c r="M1716"/>
    </row>
    <row r="1717" spans="3:13" ht="12.75" customHeight="1" x14ac:dyDescent="0.2">
      <c r="C1717"/>
      <c r="M1717"/>
    </row>
    <row r="1718" spans="3:13" ht="12.75" customHeight="1" x14ac:dyDescent="0.2">
      <c r="C1718"/>
      <c r="M1718"/>
    </row>
    <row r="1719" spans="3:13" ht="12.75" customHeight="1" x14ac:dyDescent="0.2">
      <c r="C1719"/>
      <c r="M1719"/>
    </row>
    <row r="1720" spans="3:13" ht="12.75" customHeight="1" x14ac:dyDescent="0.2">
      <c r="C1720"/>
      <c r="M1720"/>
    </row>
    <row r="1721" spans="3:13" ht="12.75" customHeight="1" x14ac:dyDescent="0.2">
      <c r="C1721"/>
      <c r="M1721"/>
    </row>
    <row r="1722" spans="3:13" ht="12.75" customHeight="1" x14ac:dyDescent="0.2">
      <c r="C1722"/>
      <c r="M1722"/>
    </row>
    <row r="1723" spans="3:13" ht="12.75" customHeight="1" x14ac:dyDescent="0.2">
      <c r="C1723"/>
      <c r="M1723"/>
    </row>
    <row r="1724" spans="3:13" ht="12.75" customHeight="1" x14ac:dyDescent="0.2">
      <c r="C1724"/>
      <c r="M1724"/>
    </row>
    <row r="1725" spans="3:13" ht="12.75" customHeight="1" x14ac:dyDescent="0.2">
      <c r="C1725"/>
      <c r="M1725"/>
    </row>
    <row r="1726" spans="3:13" ht="12.75" customHeight="1" x14ac:dyDescent="0.2">
      <c r="C1726"/>
      <c r="M1726"/>
    </row>
    <row r="1727" spans="3:13" ht="12.75" customHeight="1" x14ac:dyDescent="0.2">
      <c r="C1727"/>
      <c r="M1727"/>
    </row>
    <row r="1728" spans="3:13" ht="12.75" customHeight="1" x14ac:dyDescent="0.2">
      <c r="C1728"/>
      <c r="M1728"/>
    </row>
    <row r="1729" spans="3:13" ht="12.75" customHeight="1" x14ac:dyDescent="0.2">
      <c r="C1729"/>
      <c r="M1729"/>
    </row>
    <row r="1730" spans="3:13" ht="12.75" customHeight="1" x14ac:dyDescent="0.2">
      <c r="C1730"/>
      <c r="M1730"/>
    </row>
    <row r="1731" spans="3:13" ht="12.75" customHeight="1" x14ac:dyDescent="0.2">
      <c r="C1731"/>
      <c r="M1731"/>
    </row>
    <row r="1732" spans="3:13" ht="12.75" customHeight="1" x14ac:dyDescent="0.2">
      <c r="C1732"/>
      <c r="M1732"/>
    </row>
    <row r="1733" spans="3:13" ht="12.75" customHeight="1" x14ac:dyDescent="0.2">
      <c r="C1733"/>
      <c r="M1733"/>
    </row>
    <row r="1734" spans="3:13" ht="12.75" customHeight="1" x14ac:dyDescent="0.2">
      <c r="C1734"/>
      <c r="M1734"/>
    </row>
    <row r="1735" spans="3:13" ht="12.75" customHeight="1" x14ac:dyDescent="0.2">
      <c r="C1735"/>
      <c r="M1735"/>
    </row>
    <row r="1736" spans="3:13" ht="12.75" customHeight="1" x14ac:dyDescent="0.2">
      <c r="C1736"/>
      <c r="M1736"/>
    </row>
    <row r="1737" spans="3:13" ht="12.75" customHeight="1" x14ac:dyDescent="0.2">
      <c r="C1737"/>
      <c r="M1737"/>
    </row>
    <row r="1738" spans="3:13" ht="12.75" customHeight="1" x14ac:dyDescent="0.2">
      <c r="C1738"/>
      <c r="M1738"/>
    </row>
    <row r="1739" spans="3:13" ht="12.75" customHeight="1" x14ac:dyDescent="0.2">
      <c r="C1739"/>
      <c r="M1739"/>
    </row>
    <row r="1740" spans="3:13" ht="12.75" customHeight="1" x14ac:dyDescent="0.2">
      <c r="C1740"/>
      <c r="M1740"/>
    </row>
    <row r="1741" spans="3:13" ht="12.75" customHeight="1" x14ac:dyDescent="0.2">
      <c r="C1741"/>
      <c r="M1741"/>
    </row>
    <row r="1742" spans="3:13" ht="12.75" customHeight="1" x14ac:dyDescent="0.2">
      <c r="C1742"/>
      <c r="M1742"/>
    </row>
    <row r="1743" spans="3:13" ht="12.75" customHeight="1" x14ac:dyDescent="0.2">
      <c r="C1743"/>
      <c r="M1743"/>
    </row>
    <row r="1744" spans="3:13" ht="12.75" customHeight="1" x14ac:dyDescent="0.2">
      <c r="C1744"/>
      <c r="M1744"/>
    </row>
    <row r="1745" spans="3:13" ht="12.75" customHeight="1" x14ac:dyDescent="0.2">
      <c r="C1745"/>
      <c r="M1745"/>
    </row>
    <row r="1746" spans="3:13" ht="12.75" customHeight="1" x14ac:dyDescent="0.2">
      <c r="C1746"/>
      <c r="M1746"/>
    </row>
    <row r="1747" spans="3:13" ht="12.75" customHeight="1" x14ac:dyDescent="0.2">
      <c r="C1747"/>
      <c r="M1747"/>
    </row>
    <row r="1748" spans="3:13" ht="12.75" customHeight="1" x14ac:dyDescent="0.2">
      <c r="C1748"/>
      <c r="M1748"/>
    </row>
    <row r="1749" spans="3:13" ht="12.75" customHeight="1" x14ac:dyDescent="0.2">
      <c r="C1749"/>
      <c r="M1749"/>
    </row>
    <row r="1750" spans="3:13" ht="12.75" customHeight="1" x14ac:dyDescent="0.2">
      <c r="C1750"/>
      <c r="M1750"/>
    </row>
    <row r="1751" spans="3:13" ht="12.75" customHeight="1" x14ac:dyDescent="0.2">
      <c r="C1751"/>
      <c r="M1751"/>
    </row>
    <row r="1752" spans="3:13" ht="12.75" customHeight="1" x14ac:dyDescent="0.2">
      <c r="C1752"/>
      <c r="M1752"/>
    </row>
    <row r="1753" spans="3:13" ht="12.75" customHeight="1" x14ac:dyDescent="0.2">
      <c r="C1753"/>
      <c r="M1753"/>
    </row>
    <row r="1754" spans="3:13" ht="12.75" customHeight="1" x14ac:dyDescent="0.2">
      <c r="C1754"/>
      <c r="M1754"/>
    </row>
    <row r="1755" spans="3:13" ht="12.75" customHeight="1" x14ac:dyDescent="0.2">
      <c r="C1755"/>
      <c r="M1755"/>
    </row>
    <row r="1756" spans="3:13" ht="12.75" customHeight="1" x14ac:dyDescent="0.2">
      <c r="C1756"/>
      <c r="M1756"/>
    </row>
    <row r="1757" spans="3:13" ht="12.75" customHeight="1" x14ac:dyDescent="0.2">
      <c r="C1757"/>
      <c r="M1757"/>
    </row>
    <row r="1758" spans="3:13" ht="12.75" customHeight="1" x14ac:dyDescent="0.2">
      <c r="C1758"/>
      <c r="M1758"/>
    </row>
    <row r="1759" spans="3:13" ht="12.75" customHeight="1" x14ac:dyDescent="0.2">
      <c r="C1759"/>
      <c r="M1759"/>
    </row>
    <row r="1760" spans="3:13" ht="12.75" customHeight="1" x14ac:dyDescent="0.2">
      <c r="C1760"/>
      <c r="M1760"/>
    </row>
    <row r="1761" spans="3:13" ht="12.75" customHeight="1" x14ac:dyDescent="0.2">
      <c r="C1761"/>
      <c r="M1761"/>
    </row>
    <row r="1762" spans="3:13" ht="12.75" customHeight="1" x14ac:dyDescent="0.2">
      <c r="C1762"/>
      <c r="M1762"/>
    </row>
    <row r="1763" spans="3:13" ht="12.75" customHeight="1" x14ac:dyDescent="0.2">
      <c r="C1763"/>
      <c r="M1763"/>
    </row>
    <row r="1764" spans="3:13" ht="12.75" customHeight="1" x14ac:dyDescent="0.2">
      <c r="C1764"/>
      <c r="M1764"/>
    </row>
    <row r="1765" spans="3:13" ht="12.75" customHeight="1" x14ac:dyDescent="0.2">
      <c r="C1765"/>
      <c r="M1765"/>
    </row>
    <row r="1766" spans="3:13" ht="12.75" customHeight="1" x14ac:dyDescent="0.2">
      <c r="C1766"/>
      <c r="M1766"/>
    </row>
    <row r="1767" spans="3:13" ht="12.75" customHeight="1" x14ac:dyDescent="0.2">
      <c r="C1767"/>
      <c r="M1767"/>
    </row>
    <row r="1768" spans="3:13" ht="12.75" customHeight="1" x14ac:dyDescent="0.2">
      <c r="C1768"/>
      <c r="M1768"/>
    </row>
    <row r="1769" spans="3:13" ht="12.75" customHeight="1" x14ac:dyDescent="0.2">
      <c r="C1769"/>
      <c r="M1769"/>
    </row>
    <row r="1770" spans="3:13" ht="12.75" customHeight="1" x14ac:dyDescent="0.2">
      <c r="C1770"/>
      <c r="M1770"/>
    </row>
    <row r="1771" spans="3:13" ht="12.75" customHeight="1" x14ac:dyDescent="0.2">
      <c r="C1771"/>
      <c r="M1771"/>
    </row>
    <row r="1772" spans="3:13" ht="12.75" customHeight="1" x14ac:dyDescent="0.2">
      <c r="C1772"/>
      <c r="M1772"/>
    </row>
    <row r="1773" spans="3:13" ht="12.75" customHeight="1" x14ac:dyDescent="0.2">
      <c r="C1773"/>
      <c r="M1773"/>
    </row>
    <row r="1774" spans="3:13" ht="12.75" customHeight="1" x14ac:dyDescent="0.2">
      <c r="C1774"/>
      <c r="M1774"/>
    </row>
    <row r="1775" spans="3:13" ht="12.75" customHeight="1" x14ac:dyDescent="0.2">
      <c r="C1775"/>
      <c r="M1775"/>
    </row>
    <row r="1776" spans="3:13" ht="12.75" customHeight="1" x14ac:dyDescent="0.2">
      <c r="C1776"/>
      <c r="M1776"/>
    </row>
    <row r="1777" spans="3:13" ht="12.75" customHeight="1" x14ac:dyDescent="0.2">
      <c r="C1777"/>
      <c r="M1777"/>
    </row>
    <row r="1778" spans="3:13" ht="12.75" customHeight="1" x14ac:dyDescent="0.2">
      <c r="C1778"/>
      <c r="M1778"/>
    </row>
    <row r="1779" spans="3:13" ht="12.75" customHeight="1" x14ac:dyDescent="0.2">
      <c r="C1779"/>
      <c r="M1779"/>
    </row>
    <row r="1780" spans="3:13" ht="12.75" customHeight="1" x14ac:dyDescent="0.2">
      <c r="C1780"/>
      <c r="M1780"/>
    </row>
    <row r="1781" spans="3:13" ht="12.75" customHeight="1" x14ac:dyDescent="0.2">
      <c r="C1781"/>
      <c r="M1781"/>
    </row>
    <row r="1782" spans="3:13" ht="12.75" customHeight="1" x14ac:dyDescent="0.2">
      <c r="C1782"/>
      <c r="M1782"/>
    </row>
    <row r="1783" spans="3:13" ht="12.75" customHeight="1" x14ac:dyDescent="0.2">
      <c r="C1783"/>
      <c r="M1783"/>
    </row>
    <row r="1784" spans="3:13" ht="12.75" customHeight="1" x14ac:dyDescent="0.2">
      <c r="C1784"/>
      <c r="M1784"/>
    </row>
    <row r="1785" spans="3:13" ht="12.75" customHeight="1" x14ac:dyDescent="0.2">
      <c r="C1785"/>
      <c r="M1785"/>
    </row>
    <row r="1786" spans="3:13" ht="12.75" customHeight="1" x14ac:dyDescent="0.2">
      <c r="C1786"/>
      <c r="M1786"/>
    </row>
    <row r="1787" spans="3:13" ht="12.75" customHeight="1" x14ac:dyDescent="0.2">
      <c r="C1787"/>
      <c r="M1787"/>
    </row>
    <row r="1788" spans="3:13" ht="12.75" customHeight="1" x14ac:dyDescent="0.2">
      <c r="C1788"/>
      <c r="M1788"/>
    </row>
    <row r="1789" spans="3:13" ht="12.75" customHeight="1" x14ac:dyDescent="0.2">
      <c r="C1789"/>
      <c r="M1789"/>
    </row>
    <row r="1790" spans="3:13" ht="12.75" customHeight="1" x14ac:dyDescent="0.2">
      <c r="C1790"/>
      <c r="M1790"/>
    </row>
    <row r="1791" spans="3:13" ht="12.75" customHeight="1" x14ac:dyDescent="0.2">
      <c r="C1791"/>
      <c r="M1791"/>
    </row>
    <row r="1792" spans="3:13" ht="12.75" customHeight="1" x14ac:dyDescent="0.2">
      <c r="C1792"/>
      <c r="M1792"/>
    </row>
    <row r="1793" spans="3:13" ht="12.75" customHeight="1" x14ac:dyDescent="0.2">
      <c r="C1793"/>
      <c r="M1793"/>
    </row>
    <row r="1794" spans="3:13" ht="12.75" customHeight="1" x14ac:dyDescent="0.2">
      <c r="C1794"/>
      <c r="M1794"/>
    </row>
    <row r="1795" spans="3:13" ht="12.75" customHeight="1" x14ac:dyDescent="0.2">
      <c r="C1795"/>
      <c r="M1795"/>
    </row>
    <row r="1796" spans="3:13" ht="12.75" customHeight="1" x14ac:dyDescent="0.2">
      <c r="C1796"/>
      <c r="M1796"/>
    </row>
    <row r="1797" spans="3:13" ht="12.75" customHeight="1" x14ac:dyDescent="0.2">
      <c r="C1797"/>
      <c r="M1797"/>
    </row>
    <row r="1798" spans="3:13" ht="12.75" customHeight="1" x14ac:dyDescent="0.2">
      <c r="C1798"/>
      <c r="M1798"/>
    </row>
    <row r="1799" spans="3:13" ht="12.75" customHeight="1" x14ac:dyDescent="0.2">
      <c r="C1799"/>
      <c r="M1799"/>
    </row>
    <row r="1800" spans="3:13" ht="12.75" customHeight="1" x14ac:dyDescent="0.2">
      <c r="C1800"/>
      <c r="M1800"/>
    </row>
    <row r="1801" spans="3:13" ht="12.75" customHeight="1" x14ac:dyDescent="0.2">
      <c r="C1801"/>
      <c r="M1801"/>
    </row>
    <row r="1802" spans="3:13" ht="12.75" customHeight="1" x14ac:dyDescent="0.2">
      <c r="C1802"/>
      <c r="M1802"/>
    </row>
    <row r="1803" spans="3:13" ht="12.75" customHeight="1" x14ac:dyDescent="0.2">
      <c r="C1803"/>
      <c r="M1803"/>
    </row>
    <row r="1804" spans="3:13" ht="12.75" customHeight="1" x14ac:dyDescent="0.2">
      <c r="C1804"/>
      <c r="M1804"/>
    </row>
    <row r="1805" spans="3:13" ht="12.75" customHeight="1" x14ac:dyDescent="0.2">
      <c r="C1805"/>
      <c r="M1805"/>
    </row>
    <row r="1806" spans="3:13" ht="12.75" customHeight="1" x14ac:dyDescent="0.2">
      <c r="C1806"/>
      <c r="M1806"/>
    </row>
    <row r="1807" spans="3:13" ht="12.75" customHeight="1" x14ac:dyDescent="0.2">
      <c r="C1807"/>
      <c r="M1807"/>
    </row>
    <row r="1808" spans="3:13" ht="12.75" customHeight="1" x14ac:dyDescent="0.2">
      <c r="C1808"/>
      <c r="M1808"/>
    </row>
    <row r="1809" spans="3:13" ht="12.75" customHeight="1" x14ac:dyDescent="0.2">
      <c r="C1809"/>
      <c r="M1809"/>
    </row>
    <row r="1810" spans="3:13" ht="12.75" customHeight="1" x14ac:dyDescent="0.2">
      <c r="C1810"/>
      <c r="M1810"/>
    </row>
    <row r="1811" spans="3:13" ht="12.75" customHeight="1" x14ac:dyDescent="0.2">
      <c r="C1811"/>
      <c r="M1811"/>
    </row>
    <row r="1812" spans="3:13" ht="12.75" customHeight="1" x14ac:dyDescent="0.2">
      <c r="C1812"/>
      <c r="M1812"/>
    </row>
    <row r="1813" spans="3:13" ht="12.75" customHeight="1" x14ac:dyDescent="0.2">
      <c r="C1813"/>
      <c r="M1813"/>
    </row>
    <row r="1814" spans="3:13" ht="12.75" customHeight="1" x14ac:dyDescent="0.2">
      <c r="C1814"/>
      <c r="M1814"/>
    </row>
    <row r="1815" spans="3:13" ht="12.75" customHeight="1" x14ac:dyDescent="0.2">
      <c r="C1815"/>
      <c r="M1815"/>
    </row>
    <row r="1816" spans="3:13" ht="12.75" customHeight="1" x14ac:dyDescent="0.2">
      <c r="C1816"/>
      <c r="M1816"/>
    </row>
    <row r="1817" spans="3:13" ht="12.75" customHeight="1" x14ac:dyDescent="0.2">
      <c r="C1817"/>
      <c r="M1817"/>
    </row>
    <row r="1818" spans="3:13" ht="12.75" customHeight="1" x14ac:dyDescent="0.2">
      <c r="C1818"/>
      <c r="M1818"/>
    </row>
    <row r="1819" spans="3:13" ht="12.75" customHeight="1" x14ac:dyDescent="0.2">
      <c r="C1819"/>
      <c r="M1819"/>
    </row>
    <row r="1820" spans="3:13" ht="12.75" customHeight="1" x14ac:dyDescent="0.2">
      <c r="C1820"/>
      <c r="M1820"/>
    </row>
    <row r="1821" spans="3:13" ht="12.75" customHeight="1" x14ac:dyDescent="0.2">
      <c r="C1821"/>
      <c r="M1821"/>
    </row>
    <row r="1822" spans="3:13" ht="12.75" customHeight="1" x14ac:dyDescent="0.2">
      <c r="C1822"/>
      <c r="M1822"/>
    </row>
    <row r="1823" spans="3:13" ht="12.75" customHeight="1" x14ac:dyDescent="0.2">
      <c r="C1823"/>
      <c r="M1823"/>
    </row>
    <row r="1824" spans="3:13" ht="12.75" customHeight="1" x14ac:dyDescent="0.2">
      <c r="C1824"/>
      <c r="M1824"/>
    </row>
    <row r="1825" spans="3:13" ht="12.75" customHeight="1" x14ac:dyDescent="0.2">
      <c r="C1825"/>
      <c r="M1825"/>
    </row>
    <row r="1826" spans="3:13" ht="12.75" customHeight="1" x14ac:dyDescent="0.2">
      <c r="C1826"/>
      <c r="M1826"/>
    </row>
    <row r="1827" spans="3:13" ht="12.75" customHeight="1" x14ac:dyDescent="0.2">
      <c r="C1827"/>
      <c r="M1827"/>
    </row>
    <row r="1828" spans="3:13" ht="12.75" customHeight="1" x14ac:dyDescent="0.2">
      <c r="C1828"/>
      <c r="M1828"/>
    </row>
    <row r="1829" spans="3:13" ht="12.75" customHeight="1" x14ac:dyDescent="0.2">
      <c r="C1829"/>
      <c r="M1829"/>
    </row>
    <row r="1830" spans="3:13" ht="12.75" customHeight="1" x14ac:dyDescent="0.2">
      <c r="C1830"/>
      <c r="M1830"/>
    </row>
    <row r="1831" spans="3:13" ht="12.75" customHeight="1" x14ac:dyDescent="0.2">
      <c r="C1831"/>
      <c r="M1831"/>
    </row>
    <row r="1832" spans="3:13" ht="12.75" customHeight="1" x14ac:dyDescent="0.2">
      <c r="C1832"/>
      <c r="M1832"/>
    </row>
    <row r="1833" spans="3:13" ht="12.75" customHeight="1" x14ac:dyDescent="0.2">
      <c r="C1833"/>
      <c r="M1833"/>
    </row>
    <row r="1834" spans="3:13" ht="12.75" customHeight="1" x14ac:dyDescent="0.2">
      <c r="C1834"/>
      <c r="M1834"/>
    </row>
    <row r="1835" spans="3:13" ht="12.75" customHeight="1" x14ac:dyDescent="0.2">
      <c r="C1835"/>
      <c r="M1835"/>
    </row>
    <row r="1836" spans="3:13" ht="12.75" customHeight="1" x14ac:dyDescent="0.2">
      <c r="C1836"/>
      <c r="M1836"/>
    </row>
    <row r="1837" spans="3:13" ht="12.75" customHeight="1" x14ac:dyDescent="0.2">
      <c r="C1837"/>
      <c r="M1837"/>
    </row>
    <row r="1838" spans="3:13" ht="12.75" customHeight="1" x14ac:dyDescent="0.2">
      <c r="C1838"/>
      <c r="M1838"/>
    </row>
    <row r="1839" spans="3:13" ht="12.75" customHeight="1" x14ac:dyDescent="0.2">
      <c r="C1839"/>
      <c r="M1839"/>
    </row>
    <row r="1840" spans="3:13" ht="12.75" customHeight="1" x14ac:dyDescent="0.2">
      <c r="C1840"/>
      <c r="M1840"/>
    </row>
    <row r="1841" spans="3:13" ht="12.75" customHeight="1" x14ac:dyDescent="0.2">
      <c r="C1841"/>
      <c r="M1841"/>
    </row>
    <row r="1842" spans="3:13" ht="12.75" customHeight="1" x14ac:dyDescent="0.2">
      <c r="C1842"/>
      <c r="M1842"/>
    </row>
    <row r="1843" spans="3:13" ht="12.75" customHeight="1" x14ac:dyDescent="0.2">
      <c r="C1843"/>
      <c r="M1843"/>
    </row>
    <row r="1844" spans="3:13" ht="12.75" customHeight="1" x14ac:dyDescent="0.2">
      <c r="C1844"/>
      <c r="M1844"/>
    </row>
    <row r="1845" spans="3:13" ht="12.75" customHeight="1" x14ac:dyDescent="0.2">
      <c r="C1845"/>
      <c r="M1845"/>
    </row>
    <row r="1846" spans="3:13" ht="12.75" customHeight="1" x14ac:dyDescent="0.2">
      <c r="C1846"/>
      <c r="M1846"/>
    </row>
    <row r="1847" spans="3:13" ht="12.75" customHeight="1" x14ac:dyDescent="0.2">
      <c r="C1847"/>
      <c r="M1847"/>
    </row>
    <row r="1848" spans="3:13" ht="12.75" customHeight="1" x14ac:dyDescent="0.2">
      <c r="C1848"/>
      <c r="M1848"/>
    </row>
    <row r="1849" spans="3:13" ht="12.75" customHeight="1" x14ac:dyDescent="0.2">
      <c r="C1849"/>
      <c r="M1849"/>
    </row>
    <row r="1850" spans="3:13" ht="12.75" customHeight="1" x14ac:dyDescent="0.2">
      <c r="C1850"/>
      <c r="M1850"/>
    </row>
    <row r="1851" spans="3:13" ht="12.75" customHeight="1" x14ac:dyDescent="0.2">
      <c r="C1851"/>
      <c r="M1851"/>
    </row>
    <row r="1852" spans="3:13" ht="12.75" customHeight="1" x14ac:dyDescent="0.2">
      <c r="C1852"/>
      <c r="M1852"/>
    </row>
    <row r="1853" spans="3:13" ht="12.75" customHeight="1" x14ac:dyDescent="0.2">
      <c r="C1853"/>
      <c r="M1853"/>
    </row>
    <row r="1854" spans="3:13" ht="12.75" customHeight="1" x14ac:dyDescent="0.2">
      <c r="C1854"/>
      <c r="M1854"/>
    </row>
    <row r="1855" spans="3:13" ht="12.75" customHeight="1" x14ac:dyDescent="0.2">
      <c r="C1855"/>
      <c r="M1855"/>
    </row>
    <row r="1856" spans="3:13" ht="12.75" customHeight="1" x14ac:dyDescent="0.2">
      <c r="C1856"/>
      <c r="M1856"/>
    </row>
    <row r="1857" spans="3:13" ht="12.75" customHeight="1" x14ac:dyDescent="0.2">
      <c r="C1857"/>
      <c r="M1857"/>
    </row>
    <row r="1858" spans="3:13" ht="12.75" customHeight="1" x14ac:dyDescent="0.2">
      <c r="C1858"/>
      <c r="M1858"/>
    </row>
    <row r="1859" spans="3:13" ht="12.75" customHeight="1" x14ac:dyDescent="0.2">
      <c r="C1859"/>
      <c r="M1859"/>
    </row>
    <row r="1860" spans="3:13" ht="12.75" customHeight="1" x14ac:dyDescent="0.2">
      <c r="C1860"/>
      <c r="M1860"/>
    </row>
    <row r="1861" spans="3:13" ht="12.75" customHeight="1" x14ac:dyDescent="0.2">
      <c r="C1861"/>
      <c r="M1861"/>
    </row>
    <row r="1862" spans="3:13" ht="12.75" customHeight="1" x14ac:dyDescent="0.2">
      <c r="C1862"/>
      <c r="M1862"/>
    </row>
    <row r="1863" spans="3:13" ht="12.75" customHeight="1" x14ac:dyDescent="0.2">
      <c r="C1863"/>
      <c r="M1863"/>
    </row>
    <row r="1864" spans="3:13" ht="12.75" customHeight="1" x14ac:dyDescent="0.2">
      <c r="C1864"/>
      <c r="M1864"/>
    </row>
    <row r="1865" spans="3:13" ht="12.75" customHeight="1" x14ac:dyDescent="0.2">
      <c r="C1865"/>
      <c r="M1865"/>
    </row>
    <row r="1866" spans="3:13" ht="12.75" customHeight="1" x14ac:dyDescent="0.2">
      <c r="C1866"/>
      <c r="M1866"/>
    </row>
    <row r="1867" spans="3:13" ht="12.75" customHeight="1" x14ac:dyDescent="0.2">
      <c r="C1867"/>
      <c r="M1867"/>
    </row>
    <row r="1868" spans="3:13" ht="12.75" customHeight="1" x14ac:dyDescent="0.2">
      <c r="C1868"/>
      <c r="M1868"/>
    </row>
    <row r="1869" spans="3:13" ht="12.75" customHeight="1" x14ac:dyDescent="0.2">
      <c r="C1869"/>
      <c r="M1869"/>
    </row>
    <row r="1870" spans="3:13" ht="12.75" customHeight="1" x14ac:dyDescent="0.2">
      <c r="C1870"/>
      <c r="M1870"/>
    </row>
    <row r="1871" spans="3:13" ht="12.75" customHeight="1" x14ac:dyDescent="0.2">
      <c r="C1871"/>
      <c r="M1871"/>
    </row>
    <row r="1872" spans="3:13" ht="12.75" customHeight="1" x14ac:dyDescent="0.2">
      <c r="C1872"/>
      <c r="M1872"/>
    </row>
    <row r="1873" spans="3:13" ht="12.75" customHeight="1" x14ac:dyDescent="0.2">
      <c r="C1873"/>
      <c r="M1873"/>
    </row>
    <row r="1874" spans="3:13" ht="12.75" customHeight="1" x14ac:dyDescent="0.2">
      <c r="C1874"/>
      <c r="M1874"/>
    </row>
    <row r="1875" spans="3:13" ht="12.75" customHeight="1" x14ac:dyDescent="0.2">
      <c r="C1875"/>
      <c r="M1875"/>
    </row>
    <row r="1876" spans="3:13" ht="12.75" customHeight="1" x14ac:dyDescent="0.2">
      <c r="C1876"/>
      <c r="M1876"/>
    </row>
    <row r="1877" spans="3:13" ht="12.75" customHeight="1" x14ac:dyDescent="0.2">
      <c r="C1877"/>
      <c r="M1877"/>
    </row>
    <row r="1878" spans="3:13" ht="12.75" customHeight="1" x14ac:dyDescent="0.2">
      <c r="C1878"/>
      <c r="M1878"/>
    </row>
    <row r="1879" spans="3:13" ht="12.75" customHeight="1" x14ac:dyDescent="0.2">
      <c r="C1879"/>
      <c r="M1879"/>
    </row>
    <row r="1880" spans="3:13" ht="12.75" customHeight="1" x14ac:dyDescent="0.2">
      <c r="C1880"/>
      <c r="M1880"/>
    </row>
    <row r="1881" spans="3:13" ht="12.75" customHeight="1" x14ac:dyDescent="0.2">
      <c r="C1881"/>
      <c r="M1881"/>
    </row>
    <row r="1882" spans="3:13" ht="12.75" customHeight="1" x14ac:dyDescent="0.2">
      <c r="C1882"/>
      <c r="M1882"/>
    </row>
    <row r="1883" spans="3:13" ht="12.75" customHeight="1" x14ac:dyDescent="0.2">
      <c r="C1883"/>
      <c r="M1883"/>
    </row>
    <row r="1884" spans="3:13" ht="12.75" customHeight="1" x14ac:dyDescent="0.2">
      <c r="C1884"/>
      <c r="M1884"/>
    </row>
    <row r="1885" spans="3:13" ht="12.75" customHeight="1" x14ac:dyDescent="0.2">
      <c r="C1885"/>
      <c r="M1885"/>
    </row>
    <row r="1886" spans="3:13" ht="12.75" customHeight="1" x14ac:dyDescent="0.2">
      <c r="C1886"/>
      <c r="M1886"/>
    </row>
    <row r="1887" spans="3:13" ht="12.75" customHeight="1" x14ac:dyDescent="0.2">
      <c r="C1887"/>
      <c r="M1887"/>
    </row>
    <row r="1888" spans="3:13" ht="12.75" customHeight="1" x14ac:dyDescent="0.2">
      <c r="C1888"/>
      <c r="M1888"/>
    </row>
    <row r="1889" spans="3:13" ht="12.75" customHeight="1" x14ac:dyDescent="0.2">
      <c r="C1889"/>
      <c r="M1889"/>
    </row>
    <row r="1890" spans="3:13" ht="12.75" customHeight="1" x14ac:dyDescent="0.2">
      <c r="C1890"/>
      <c r="M1890"/>
    </row>
    <row r="1891" spans="3:13" ht="12.75" customHeight="1" x14ac:dyDescent="0.2">
      <c r="C1891"/>
      <c r="M1891"/>
    </row>
    <row r="1892" spans="3:13" ht="12.75" customHeight="1" x14ac:dyDescent="0.2">
      <c r="C1892"/>
      <c r="M1892"/>
    </row>
    <row r="1893" spans="3:13" ht="12.75" customHeight="1" x14ac:dyDescent="0.2">
      <c r="C1893"/>
      <c r="M1893"/>
    </row>
    <row r="1894" spans="3:13" ht="12.75" customHeight="1" x14ac:dyDescent="0.2">
      <c r="C1894"/>
      <c r="M1894"/>
    </row>
    <row r="1895" spans="3:13" ht="12.75" customHeight="1" x14ac:dyDescent="0.2">
      <c r="C1895"/>
      <c r="M1895"/>
    </row>
    <row r="1896" spans="3:13" ht="12.75" customHeight="1" x14ac:dyDescent="0.2">
      <c r="C1896"/>
      <c r="M1896"/>
    </row>
    <row r="1897" spans="3:13" ht="12.75" customHeight="1" x14ac:dyDescent="0.2">
      <c r="C1897"/>
      <c r="M1897"/>
    </row>
    <row r="1898" spans="3:13" ht="12.75" customHeight="1" x14ac:dyDescent="0.2">
      <c r="C1898"/>
      <c r="M1898"/>
    </row>
    <row r="1899" spans="3:13" ht="12.75" customHeight="1" x14ac:dyDescent="0.2">
      <c r="C1899"/>
      <c r="M1899"/>
    </row>
    <row r="1900" spans="3:13" ht="12.75" customHeight="1" x14ac:dyDescent="0.2">
      <c r="C1900"/>
      <c r="M1900"/>
    </row>
    <row r="1901" spans="3:13" ht="12.75" customHeight="1" x14ac:dyDescent="0.2">
      <c r="C1901"/>
      <c r="M1901"/>
    </row>
    <row r="1902" spans="3:13" ht="12.75" customHeight="1" x14ac:dyDescent="0.2">
      <c r="C1902"/>
      <c r="M1902"/>
    </row>
    <row r="1903" spans="3:13" ht="12.75" customHeight="1" x14ac:dyDescent="0.2">
      <c r="C1903"/>
      <c r="M1903"/>
    </row>
    <row r="1904" spans="3:13" ht="12.75" customHeight="1" x14ac:dyDescent="0.2">
      <c r="C1904"/>
      <c r="M1904"/>
    </row>
    <row r="1905" spans="3:13" ht="12.75" customHeight="1" x14ac:dyDescent="0.2">
      <c r="C1905"/>
      <c r="M1905"/>
    </row>
    <row r="1906" spans="3:13" ht="12.75" customHeight="1" x14ac:dyDescent="0.2">
      <c r="C1906"/>
      <c r="M1906"/>
    </row>
    <row r="1907" spans="3:13" ht="12.75" customHeight="1" x14ac:dyDescent="0.2">
      <c r="C1907"/>
      <c r="M1907"/>
    </row>
    <row r="1908" spans="3:13" ht="12.75" customHeight="1" x14ac:dyDescent="0.2">
      <c r="C1908"/>
      <c r="M1908"/>
    </row>
    <row r="1909" spans="3:13" ht="12.75" customHeight="1" x14ac:dyDescent="0.2">
      <c r="C1909"/>
      <c r="M1909"/>
    </row>
    <row r="1910" spans="3:13" ht="12.75" customHeight="1" x14ac:dyDescent="0.2">
      <c r="C1910"/>
      <c r="M1910"/>
    </row>
    <row r="1911" spans="3:13" ht="12.75" customHeight="1" x14ac:dyDescent="0.2">
      <c r="C1911"/>
      <c r="M1911"/>
    </row>
    <row r="1912" spans="3:13" ht="12.75" customHeight="1" x14ac:dyDescent="0.2">
      <c r="C1912"/>
      <c r="M1912"/>
    </row>
    <row r="1913" spans="3:13" ht="12.75" customHeight="1" x14ac:dyDescent="0.2">
      <c r="C1913"/>
      <c r="M1913"/>
    </row>
    <row r="1914" spans="3:13" ht="12.75" customHeight="1" x14ac:dyDescent="0.2">
      <c r="C1914"/>
      <c r="M1914"/>
    </row>
    <row r="1915" spans="3:13" ht="12.75" customHeight="1" x14ac:dyDescent="0.2">
      <c r="C1915"/>
      <c r="M1915"/>
    </row>
    <row r="1916" spans="3:13" ht="12.75" customHeight="1" x14ac:dyDescent="0.2">
      <c r="C1916"/>
      <c r="M1916"/>
    </row>
    <row r="1917" spans="3:13" ht="12.75" customHeight="1" x14ac:dyDescent="0.2">
      <c r="C1917"/>
      <c r="M1917"/>
    </row>
    <row r="1918" spans="3:13" ht="12.75" customHeight="1" x14ac:dyDescent="0.2">
      <c r="C1918"/>
      <c r="M1918"/>
    </row>
    <row r="1919" spans="3:13" ht="12.75" customHeight="1" x14ac:dyDescent="0.2">
      <c r="C1919"/>
      <c r="M1919"/>
    </row>
    <row r="1920" spans="3:13" ht="12.75" customHeight="1" x14ac:dyDescent="0.2">
      <c r="C1920"/>
      <c r="M1920"/>
    </row>
    <row r="1921" spans="3:13" ht="12.75" customHeight="1" x14ac:dyDescent="0.2">
      <c r="C1921"/>
      <c r="M1921"/>
    </row>
    <row r="1922" spans="3:13" ht="12.75" customHeight="1" x14ac:dyDescent="0.2">
      <c r="C1922"/>
      <c r="M1922"/>
    </row>
    <row r="1923" spans="3:13" ht="12.75" customHeight="1" x14ac:dyDescent="0.2">
      <c r="C1923"/>
      <c r="M1923"/>
    </row>
    <row r="1924" spans="3:13" ht="12.75" customHeight="1" x14ac:dyDescent="0.2">
      <c r="C1924"/>
      <c r="M1924"/>
    </row>
    <row r="1925" spans="3:13" ht="12.75" customHeight="1" x14ac:dyDescent="0.2">
      <c r="C1925"/>
      <c r="M1925"/>
    </row>
    <row r="1926" spans="3:13" ht="12.75" customHeight="1" x14ac:dyDescent="0.2">
      <c r="C1926"/>
      <c r="M1926"/>
    </row>
    <row r="1927" spans="3:13" ht="12.75" customHeight="1" x14ac:dyDescent="0.2">
      <c r="C1927"/>
      <c r="M1927"/>
    </row>
    <row r="1928" spans="3:13" ht="12.75" customHeight="1" x14ac:dyDescent="0.2">
      <c r="C1928"/>
      <c r="M1928"/>
    </row>
    <row r="1929" spans="3:13" ht="12.75" customHeight="1" x14ac:dyDescent="0.2">
      <c r="C1929"/>
      <c r="M1929"/>
    </row>
    <row r="1930" spans="3:13" ht="12.75" customHeight="1" x14ac:dyDescent="0.2">
      <c r="C1930"/>
      <c r="M1930"/>
    </row>
    <row r="1931" spans="3:13" ht="12.75" customHeight="1" x14ac:dyDescent="0.2">
      <c r="C1931"/>
      <c r="M1931"/>
    </row>
    <row r="1932" spans="3:13" ht="12.75" customHeight="1" x14ac:dyDescent="0.2">
      <c r="C1932"/>
      <c r="M1932"/>
    </row>
    <row r="1933" spans="3:13" ht="12.75" customHeight="1" x14ac:dyDescent="0.2">
      <c r="C1933"/>
      <c r="M1933"/>
    </row>
    <row r="1934" spans="3:13" ht="12.75" customHeight="1" x14ac:dyDescent="0.2">
      <c r="C1934"/>
      <c r="M1934"/>
    </row>
    <row r="1935" spans="3:13" ht="12.75" customHeight="1" x14ac:dyDescent="0.2">
      <c r="C1935"/>
      <c r="M1935"/>
    </row>
    <row r="1936" spans="3:13" ht="12.75" customHeight="1" x14ac:dyDescent="0.2">
      <c r="C1936"/>
      <c r="M1936"/>
    </row>
    <row r="1937" spans="3:13" ht="12.75" customHeight="1" x14ac:dyDescent="0.2">
      <c r="C1937"/>
      <c r="M1937"/>
    </row>
    <row r="1938" spans="3:13" ht="12.75" customHeight="1" x14ac:dyDescent="0.2">
      <c r="C1938"/>
      <c r="M1938"/>
    </row>
    <row r="1939" spans="3:13" ht="12.75" customHeight="1" x14ac:dyDescent="0.2">
      <c r="C1939"/>
      <c r="M1939"/>
    </row>
    <row r="1940" spans="3:13" ht="12.75" customHeight="1" x14ac:dyDescent="0.2">
      <c r="C1940"/>
      <c r="M1940"/>
    </row>
    <row r="1941" spans="3:13" ht="12.75" customHeight="1" x14ac:dyDescent="0.2">
      <c r="C1941"/>
      <c r="M1941"/>
    </row>
    <row r="1942" spans="3:13" ht="12.75" customHeight="1" x14ac:dyDescent="0.2">
      <c r="C1942"/>
      <c r="M1942"/>
    </row>
    <row r="1943" spans="3:13" ht="12.75" customHeight="1" x14ac:dyDescent="0.2">
      <c r="C1943"/>
      <c r="M1943"/>
    </row>
    <row r="1944" spans="3:13" ht="12.75" customHeight="1" x14ac:dyDescent="0.2">
      <c r="C1944"/>
      <c r="M1944"/>
    </row>
    <row r="1945" spans="3:13" ht="12.75" customHeight="1" x14ac:dyDescent="0.2">
      <c r="C1945"/>
      <c r="M1945"/>
    </row>
    <row r="1946" spans="3:13" ht="12.75" customHeight="1" x14ac:dyDescent="0.2">
      <c r="C1946"/>
      <c r="M1946"/>
    </row>
    <row r="1947" spans="3:13" ht="12.75" customHeight="1" x14ac:dyDescent="0.2">
      <c r="C1947"/>
      <c r="M1947"/>
    </row>
    <row r="1948" spans="3:13" ht="12.75" customHeight="1" x14ac:dyDescent="0.2">
      <c r="C1948"/>
      <c r="M1948"/>
    </row>
    <row r="1949" spans="3:13" ht="12.75" customHeight="1" x14ac:dyDescent="0.2">
      <c r="C1949"/>
      <c r="M1949"/>
    </row>
    <row r="1950" spans="3:13" ht="12.75" customHeight="1" x14ac:dyDescent="0.2">
      <c r="C1950"/>
      <c r="M1950"/>
    </row>
    <row r="1951" spans="3:13" ht="12.75" customHeight="1" x14ac:dyDescent="0.2">
      <c r="C1951"/>
      <c r="M1951"/>
    </row>
    <row r="1952" spans="3:13" ht="12.75" customHeight="1" x14ac:dyDescent="0.2">
      <c r="C1952"/>
      <c r="M1952"/>
    </row>
    <row r="1953" spans="3:13" ht="12.75" customHeight="1" x14ac:dyDescent="0.2">
      <c r="C1953"/>
      <c r="M1953"/>
    </row>
    <row r="1954" spans="3:13" ht="12.75" customHeight="1" x14ac:dyDescent="0.2">
      <c r="C1954"/>
      <c r="M1954"/>
    </row>
    <row r="1955" spans="3:13" ht="12.75" customHeight="1" x14ac:dyDescent="0.2">
      <c r="C1955"/>
      <c r="M1955"/>
    </row>
    <row r="1956" spans="3:13" ht="12.75" customHeight="1" x14ac:dyDescent="0.2">
      <c r="C1956"/>
      <c r="M1956"/>
    </row>
    <row r="1957" spans="3:13" ht="12.75" customHeight="1" x14ac:dyDescent="0.2">
      <c r="C1957"/>
      <c r="M1957"/>
    </row>
    <row r="1958" spans="3:13" ht="12.75" customHeight="1" x14ac:dyDescent="0.2">
      <c r="C1958"/>
      <c r="M1958"/>
    </row>
    <row r="1959" spans="3:13" ht="12.75" customHeight="1" x14ac:dyDescent="0.2">
      <c r="C1959"/>
      <c r="M1959"/>
    </row>
    <row r="1960" spans="3:13" ht="12.75" customHeight="1" x14ac:dyDescent="0.2">
      <c r="C1960"/>
      <c r="M1960"/>
    </row>
    <row r="1961" spans="3:13" ht="12.75" customHeight="1" x14ac:dyDescent="0.2">
      <c r="C1961"/>
      <c r="M1961"/>
    </row>
    <row r="1962" spans="3:13" ht="12.75" customHeight="1" x14ac:dyDescent="0.2">
      <c r="C1962"/>
      <c r="M1962"/>
    </row>
    <row r="1963" spans="3:13" ht="12.75" customHeight="1" x14ac:dyDescent="0.2">
      <c r="C1963"/>
      <c r="M1963"/>
    </row>
    <row r="1964" spans="3:13" ht="12.75" customHeight="1" x14ac:dyDescent="0.2">
      <c r="C1964"/>
      <c r="M1964"/>
    </row>
    <row r="1965" spans="3:13" ht="12.75" customHeight="1" x14ac:dyDescent="0.2">
      <c r="C1965"/>
      <c r="M1965"/>
    </row>
    <row r="1966" spans="3:13" ht="12.75" customHeight="1" x14ac:dyDescent="0.2">
      <c r="C1966"/>
      <c r="M1966"/>
    </row>
    <row r="1967" spans="3:13" ht="12.75" customHeight="1" x14ac:dyDescent="0.2">
      <c r="C1967"/>
      <c r="M1967"/>
    </row>
    <row r="1968" spans="3:13" ht="12.75" customHeight="1" x14ac:dyDescent="0.2">
      <c r="C1968"/>
      <c r="M1968"/>
    </row>
    <row r="1969" spans="3:13" ht="12.75" customHeight="1" x14ac:dyDescent="0.2">
      <c r="C1969"/>
      <c r="M1969"/>
    </row>
    <row r="1970" spans="3:13" ht="12.75" customHeight="1" x14ac:dyDescent="0.2">
      <c r="C1970"/>
      <c r="M1970"/>
    </row>
    <row r="1971" spans="3:13" ht="12.75" customHeight="1" x14ac:dyDescent="0.2">
      <c r="C1971"/>
      <c r="M1971"/>
    </row>
    <row r="1972" spans="3:13" ht="12.75" customHeight="1" x14ac:dyDescent="0.2">
      <c r="C1972"/>
      <c r="M1972"/>
    </row>
    <row r="1973" spans="3:13" ht="12.75" customHeight="1" x14ac:dyDescent="0.2">
      <c r="C1973"/>
      <c r="M1973"/>
    </row>
    <row r="1974" spans="3:13" ht="12.75" customHeight="1" x14ac:dyDescent="0.2">
      <c r="C1974"/>
      <c r="M1974"/>
    </row>
    <row r="1975" spans="3:13" ht="12.75" customHeight="1" x14ac:dyDescent="0.2">
      <c r="C1975"/>
      <c r="M1975"/>
    </row>
    <row r="1976" spans="3:13" ht="12.75" customHeight="1" x14ac:dyDescent="0.2">
      <c r="C1976"/>
      <c r="M1976"/>
    </row>
    <row r="1977" spans="3:13" ht="12.75" customHeight="1" x14ac:dyDescent="0.2">
      <c r="C1977"/>
      <c r="M1977"/>
    </row>
    <row r="1978" spans="3:13" ht="12.75" customHeight="1" x14ac:dyDescent="0.2">
      <c r="C1978"/>
      <c r="M1978"/>
    </row>
    <row r="1979" spans="3:13" ht="12.75" customHeight="1" x14ac:dyDescent="0.2">
      <c r="C1979"/>
      <c r="M1979"/>
    </row>
    <row r="1980" spans="3:13" ht="12.75" customHeight="1" x14ac:dyDescent="0.2">
      <c r="C1980"/>
      <c r="M1980"/>
    </row>
    <row r="1981" spans="3:13" ht="12.75" customHeight="1" x14ac:dyDescent="0.2">
      <c r="C1981"/>
      <c r="M1981"/>
    </row>
    <row r="1982" spans="3:13" ht="12.75" customHeight="1" x14ac:dyDescent="0.2">
      <c r="C1982"/>
      <c r="M1982"/>
    </row>
    <row r="1983" spans="3:13" ht="12.75" customHeight="1" x14ac:dyDescent="0.2">
      <c r="C1983"/>
      <c r="M1983"/>
    </row>
    <row r="1984" spans="3:13" ht="12.75" customHeight="1" x14ac:dyDescent="0.2">
      <c r="C1984"/>
      <c r="M1984"/>
    </row>
    <row r="1985" spans="3:13" ht="12.75" customHeight="1" x14ac:dyDescent="0.2">
      <c r="C1985"/>
      <c r="M1985"/>
    </row>
    <row r="1986" spans="3:13" ht="12.75" customHeight="1" x14ac:dyDescent="0.2">
      <c r="C1986"/>
      <c r="M1986"/>
    </row>
    <row r="1987" spans="3:13" ht="12.75" customHeight="1" x14ac:dyDescent="0.2">
      <c r="C1987"/>
      <c r="M1987"/>
    </row>
    <row r="1988" spans="3:13" ht="12.75" customHeight="1" x14ac:dyDescent="0.2">
      <c r="C1988"/>
      <c r="M1988"/>
    </row>
    <row r="1989" spans="3:13" ht="12.75" customHeight="1" x14ac:dyDescent="0.2">
      <c r="C1989"/>
      <c r="M1989"/>
    </row>
    <row r="1990" spans="3:13" ht="12.75" customHeight="1" x14ac:dyDescent="0.2">
      <c r="C1990"/>
      <c r="M1990"/>
    </row>
    <row r="1991" spans="3:13" ht="12.75" customHeight="1" x14ac:dyDescent="0.2">
      <c r="C1991"/>
      <c r="M1991"/>
    </row>
    <row r="1992" spans="3:13" ht="12.75" customHeight="1" x14ac:dyDescent="0.2">
      <c r="C1992"/>
      <c r="M1992"/>
    </row>
    <row r="1993" spans="3:13" ht="12.75" customHeight="1" x14ac:dyDescent="0.2">
      <c r="C1993"/>
      <c r="M1993"/>
    </row>
    <row r="1994" spans="3:13" ht="12.75" customHeight="1" x14ac:dyDescent="0.2">
      <c r="C1994"/>
      <c r="M1994"/>
    </row>
    <row r="1995" spans="3:13" ht="12.75" customHeight="1" x14ac:dyDescent="0.2">
      <c r="C1995"/>
      <c r="M1995"/>
    </row>
    <row r="1996" spans="3:13" ht="12.75" customHeight="1" x14ac:dyDescent="0.2">
      <c r="C1996"/>
      <c r="M1996"/>
    </row>
    <row r="1997" spans="3:13" ht="12.75" customHeight="1" x14ac:dyDescent="0.2">
      <c r="C1997"/>
      <c r="M1997"/>
    </row>
    <row r="1998" spans="3:13" ht="12.75" customHeight="1" x14ac:dyDescent="0.2">
      <c r="C1998"/>
      <c r="M1998"/>
    </row>
    <row r="1999" spans="3:13" ht="12.75" customHeight="1" x14ac:dyDescent="0.2">
      <c r="C1999"/>
      <c r="M1999"/>
    </row>
    <row r="2000" spans="3:13" ht="12.75" customHeight="1" x14ac:dyDescent="0.2">
      <c r="C2000"/>
      <c r="M2000"/>
    </row>
    <row r="2001" spans="3:13" ht="12.75" customHeight="1" x14ac:dyDescent="0.2">
      <c r="C2001"/>
      <c r="M2001"/>
    </row>
    <row r="2002" spans="3:13" ht="12.75" customHeight="1" x14ac:dyDescent="0.2">
      <c r="C2002"/>
      <c r="M2002"/>
    </row>
    <row r="2003" spans="3:13" ht="12.75" customHeight="1" x14ac:dyDescent="0.2">
      <c r="C2003"/>
      <c r="M2003"/>
    </row>
    <row r="2004" spans="3:13" ht="12.75" customHeight="1" x14ac:dyDescent="0.2">
      <c r="C2004"/>
      <c r="M2004"/>
    </row>
    <row r="2005" spans="3:13" ht="12.75" customHeight="1" x14ac:dyDescent="0.2">
      <c r="C2005"/>
      <c r="M2005"/>
    </row>
    <row r="2006" spans="3:13" ht="12.75" customHeight="1" x14ac:dyDescent="0.2">
      <c r="C2006"/>
      <c r="M2006"/>
    </row>
    <row r="2007" spans="3:13" ht="12.75" customHeight="1" x14ac:dyDescent="0.2">
      <c r="C2007"/>
      <c r="M2007"/>
    </row>
    <row r="2008" spans="3:13" ht="12.75" customHeight="1" x14ac:dyDescent="0.2">
      <c r="C2008"/>
      <c r="M2008"/>
    </row>
    <row r="2009" spans="3:13" ht="12.75" customHeight="1" x14ac:dyDescent="0.2">
      <c r="C2009"/>
      <c r="M2009"/>
    </row>
    <row r="2010" spans="3:13" ht="12.75" customHeight="1" x14ac:dyDescent="0.2">
      <c r="C2010"/>
      <c r="M2010"/>
    </row>
    <row r="2011" spans="3:13" ht="12.75" customHeight="1" x14ac:dyDescent="0.2">
      <c r="C2011"/>
      <c r="M2011"/>
    </row>
    <row r="2012" spans="3:13" ht="12.75" customHeight="1" x14ac:dyDescent="0.2">
      <c r="C2012"/>
      <c r="M2012"/>
    </row>
    <row r="2013" spans="3:13" ht="12.75" customHeight="1" x14ac:dyDescent="0.2">
      <c r="C2013"/>
      <c r="M2013"/>
    </row>
    <row r="2014" spans="3:13" ht="12.75" customHeight="1" x14ac:dyDescent="0.2">
      <c r="C2014"/>
      <c r="M2014"/>
    </row>
    <row r="2015" spans="3:13" ht="12.75" customHeight="1" x14ac:dyDescent="0.2">
      <c r="C2015"/>
      <c r="M2015"/>
    </row>
    <row r="2016" spans="3:13" ht="12.75" customHeight="1" x14ac:dyDescent="0.2">
      <c r="C2016"/>
      <c r="M2016"/>
    </row>
    <row r="2017" spans="3:13" ht="12.75" customHeight="1" x14ac:dyDescent="0.2">
      <c r="C2017"/>
      <c r="M2017"/>
    </row>
    <row r="2018" spans="3:13" ht="12.75" customHeight="1" x14ac:dyDescent="0.2">
      <c r="C2018"/>
      <c r="M2018"/>
    </row>
    <row r="2019" spans="3:13" ht="12.75" customHeight="1" x14ac:dyDescent="0.2">
      <c r="C2019"/>
      <c r="M2019"/>
    </row>
    <row r="2020" spans="3:13" ht="12.75" customHeight="1" x14ac:dyDescent="0.2">
      <c r="C2020"/>
      <c r="M2020"/>
    </row>
    <row r="2021" spans="3:13" ht="12.75" customHeight="1" x14ac:dyDescent="0.2">
      <c r="C2021"/>
      <c r="M2021"/>
    </row>
    <row r="2022" spans="3:13" ht="12.75" customHeight="1" x14ac:dyDescent="0.2">
      <c r="C2022"/>
      <c r="M2022"/>
    </row>
    <row r="2023" spans="3:13" ht="12.75" customHeight="1" x14ac:dyDescent="0.2">
      <c r="C2023"/>
      <c r="M2023"/>
    </row>
    <row r="2024" spans="3:13" ht="12.75" customHeight="1" x14ac:dyDescent="0.2">
      <c r="C2024"/>
      <c r="M2024"/>
    </row>
    <row r="2025" spans="3:13" ht="12.75" customHeight="1" x14ac:dyDescent="0.2">
      <c r="C2025"/>
      <c r="M2025"/>
    </row>
    <row r="2026" spans="3:13" ht="12.75" customHeight="1" x14ac:dyDescent="0.2">
      <c r="C2026"/>
      <c r="M2026"/>
    </row>
    <row r="2027" spans="3:13" ht="12.75" customHeight="1" x14ac:dyDescent="0.2">
      <c r="C2027"/>
      <c r="M2027"/>
    </row>
    <row r="2028" spans="3:13" ht="12.75" customHeight="1" x14ac:dyDescent="0.2">
      <c r="C2028"/>
      <c r="M2028"/>
    </row>
    <row r="2029" spans="3:13" ht="12.75" customHeight="1" x14ac:dyDescent="0.2">
      <c r="C2029"/>
      <c r="M2029"/>
    </row>
    <row r="2030" spans="3:13" ht="12.75" customHeight="1" x14ac:dyDescent="0.2">
      <c r="C2030"/>
      <c r="M2030"/>
    </row>
    <row r="2031" spans="3:13" ht="12.75" customHeight="1" x14ac:dyDescent="0.2">
      <c r="C2031"/>
      <c r="M2031"/>
    </row>
    <row r="2032" spans="3:13" ht="12.75" customHeight="1" x14ac:dyDescent="0.2">
      <c r="C2032"/>
      <c r="M2032"/>
    </row>
    <row r="2033" spans="3:13" ht="12.75" customHeight="1" x14ac:dyDescent="0.2">
      <c r="C2033"/>
      <c r="M2033"/>
    </row>
    <row r="2034" spans="3:13" ht="12.75" customHeight="1" x14ac:dyDescent="0.2">
      <c r="C2034"/>
      <c r="M2034"/>
    </row>
    <row r="2035" spans="3:13" ht="12.75" customHeight="1" x14ac:dyDescent="0.2">
      <c r="C2035"/>
      <c r="M2035"/>
    </row>
    <row r="2036" spans="3:13" ht="12.75" customHeight="1" x14ac:dyDescent="0.2">
      <c r="C2036"/>
      <c r="M2036"/>
    </row>
    <row r="2037" spans="3:13" ht="12.75" customHeight="1" x14ac:dyDescent="0.2">
      <c r="C2037"/>
      <c r="M2037"/>
    </row>
    <row r="2038" spans="3:13" ht="12.75" customHeight="1" x14ac:dyDescent="0.2">
      <c r="C2038"/>
      <c r="M2038"/>
    </row>
    <row r="2039" spans="3:13" ht="12.75" customHeight="1" x14ac:dyDescent="0.2">
      <c r="C2039"/>
      <c r="M2039"/>
    </row>
    <row r="2040" spans="3:13" ht="12.75" customHeight="1" x14ac:dyDescent="0.2">
      <c r="C2040"/>
      <c r="M2040"/>
    </row>
    <row r="2041" spans="3:13" ht="12.75" customHeight="1" x14ac:dyDescent="0.2">
      <c r="C2041"/>
      <c r="M2041"/>
    </row>
    <row r="2042" spans="3:13" ht="12.75" customHeight="1" x14ac:dyDescent="0.2">
      <c r="C2042"/>
      <c r="M2042"/>
    </row>
    <row r="2043" spans="3:13" ht="12.75" customHeight="1" x14ac:dyDescent="0.2">
      <c r="C2043"/>
      <c r="M2043"/>
    </row>
    <row r="2044" spans="3:13" ht="12.75" customHeight="1" x14ac:dyDescent="0.2">
      <c r="C2044"/>
      <c r="M2044"/>
    </row>
    <row r="2045" spans="3:13" ht="12.75" customHeight="1" x14ac:dyDescent="0.2">
      <c r="C2045"/>
      <c r="M2045"/>
    </row>
    <row r="2046" spans="3:13" ht="12.75" customHeight="1" x14ac:dyDescent="0.2">
      <c r="C2046"/>
      <c r="M2046"/>
    </row>
    <row r="2047" spans="3:13" ht="12.75" customHeight="1" x14ac:dyDescent="0.2">
      <c r="C2047"/>
      <c r="M2047"/>
    </row>
    <row r="2048" spans="3:13" ht="12.75" customHeight="1" x14ac:dyDescent="0.2">
      <c r="C2048"/>
      <c r="M2048"/>
    </row>
    <row r="2049" spans="3:13" ht="12.75" customHeight="1" x14ac:dyDescent="0.2">
      <c r="C2049"/>
      <c r="M2049"/>
    </row>
    <row r="2050" spans="3:13" ht="12.75" customHeight="1" x14ac:dyDescent="0.2">
      <c r="C2050"/>
      <c r="M2050"/>
    </row>
    <row r="2051" spans="3:13" ht="12.75" customHeight="1" x14ac:dyDescent="0.2">
      <c r="C2051"/>
      <c r="M2051"/>
    </row>
    <row r="2052" spans="3:13" ht="12.75" customHeight="1" x14ac:dyDescent="0.2">
      <c r="C2052"/>
      <c r="M2052"/>
    </row>
    <row r="2053" spans="3:13" ht="12.75" customHeight="1" x14ac:dyDescent="0.2">
      <c r="C2053"/>
      <c r="M2053"/>
    </row>
    <row r="2054" spans="3:13" ht="12.75" customHeight="1" x14ac:dyDescent="0.2">
      <c r="C2054"/>
      <c r="M2054"/>
    </row>
    <row r="2055" spans="3:13" ht="12.75" customHeight="1" x14ac:dyDescent="0.2">
      <c r="C2055"/>
      <c r="M2055"/>
    </row>
    <row r="2056" spans="3:13" ht="12.75" customHeight="1" x14ac:dyDescent="0.2">
      <c r="C2056"/>
      <c r="M2056"/>
    </row>
    <row r="2057" spans="3:13" ht="12.75" customHeight="1" x14ac:dyDescent="0.2">
      <c r="C2057"/>
      <c r="M2057"/>
    </row>
    <row r="2058" spans="3:13" ht="12.75" customHeight="1" x14ac:dyDescent="0.2">
      <c r="C2058"/>
      <c r="M2058"/>
    </row>
    <row r="2059" spans="3:13" ht="12.75" customHeight="1" x14ac:dyDescent="0.2">
      <c r="C2059"/>
      <c r="M2059"/>
    </row>
    <row r="2060" spans="3:13" ht="12.75" customHeight="1" x14ac:dyDescent="0.2">
      <c r="C2060"/>
      <c r="M2060"/>
    </row>
    <row r="2061" spans="3:13" ht="12.75" customHeight="1" x14ac:dyDescent="0.2">
      <c r="C2061"/>
      <c r="M2061"/>
    </row>
    <row r="2062" spans="3:13" ht="12.75" customHeight="1" x14ac:dyDescent="0.2">
      <c r="C2062"/>
      <c r="M2062"/>
    </row>
    <row r="2063" spans="3:13" ht="12.75" customHeight="1" x14ac:dyDescent="0.2">
      <c r="C2063"/>
      <c r="M2063"/>
    </row>
    <row r="2064" spans="3:13" ht="12.75" customHeight="1" x14ac:dyDescent="0.2">
      <c r="C2064"/>
      <c r="M2064"/>
    </row>
    <row r="2065" spans="3:13" ht="12.75" customHeight="1" x14ac:dyDescent="0.2">
      <c r="C2065"/>
      <c r="M2065"/>
    </row>
    <row r="2066" spans="3:13" ht="12.75" customHeight="1" x14ac:dyDescent="0.2">
      <c r="C2066"/>
      <c r="M2066"/>
    </row>
    <row r="2067" spans="3:13" ht="12.75" customHeight="1" x14ac:dyDescent="0.2">
      <c r="C2067"/>
      <c r="M2067"/>
    </row>
    <row r="2068" spans="3:13" ht="12.75" customHeight="1" x14ac:dyDescent="0.2">
      <c r="C2068"/>
      <c r="M2068"/>
    </row>
    <row r="2069" spans="3:13" ht="12.75" customHeight="1" x14ac:dyDescent="0.2">
      <c r="C2069"/>
      <c r="M2069"/>
    </row>
    <row r="2070" spans="3:13" ht="12.75" customHeight="1" x14ac:dyDescent="0.2">
      <c r="C2070"/>
      <c r="M2070"/>
    </row>
    <row r="2071" spans="3:13" ht="12.75" customHeight="1" x14ac:dyDescent="0.2">
      <c r="C2071"/>
      <c r="M2071"/>
    </row>
    <row r="2072" spans="3:13" ht="12.75" customHeight="1" x14ac:dyDescent="0.2">
      <c r="C2072"/>
      <c r="M2072"/>
    </row>
    <row r="2073" spans="3:13" ht="12.75" customHeight="1" x14ac:dyDescent="0.2">
      <c r="C2073"/>
      <c r="M2073"/>
    </row>
    <row r="2074" spans="3:13" ht="12.75" customHeight="1" x14ac:dyDescent="0.2">
      <c r="C2074"/>
      <c r="M2074"/>
    </row>
    <row r="2075" spans="3:13" ht="12.75" customHeight="1" x14ac:dyDescent="0.2">
      <c r="C2075"/>
      <c r="M2075"/>
    </row>
    <row r="2076" spans="3:13" ht="12.75" customHeight="1" x14ac:dyDescent="0.2">
      <c r="C2076"/>
      <c r="M2076"/>
    </row>
    <row r="2077" spans="3:13" ht="12.75" customHeight="1" x14ac:dyDescent="0.2">
      <c r="C2077"/>
      <c r="M2077"/>
    </row>
    <row r="2078" spans="3:13" ht="12.75" customHeight="1" x14ac:dyDescent="0.2">
      <c r="C2078"/>
      <c r="M2078"/>
    </row>
    <row r="2079" spans="3:13" ht="12.75" customHeight="1" x14ac:dyDescent="0.2">
      <c r="C2079"/>
      <c r="M2079"/>
    </row>
    <row r="2080" spans="3:13" ht="12.75" customHeight="1" x14ac:dyDescent="0.2">
      <c r="C2080"/>
      <c r="M2080"/>
    </row>
    <row r="2081" spans="3:13" ht="12.75" customHeight="1" x14ac:dyDescent="0.2">
      <c r="C2081"/>
      <c r="M2081"/>
    </row>
    <row r="2082" spans="3:13" ht="12.75" customHeight="1" x14ac:dyDescent="0.2">
      <c r="C2082"/>
      <c r="M2082"/>
    </row>
    <row r="2083" spans="3:13" ht="12.75" customHeight="1" x14ac:dyDescent="0.2">
      <c r="C2083"/>
      <c r="M2083"/>
    </row>
    <row r="2084" spans="3:13" ht="12.75" customHeight="1" x14ac:dyDescent="0.2">
      <c r="C2084"/>
      <c r="M2084"/>
    </row>
    <row r="2085" spans="3:13" ht="12.75" customHeight="1" x14ac:dyDescent="0.2">
      <c r="C2085"/>
      <c r="M2085"/>
    </row>
    <row r="2086" spans="3:13" ht="12.75" customHeight="1" x14ac:dyDescent="0.2">
      <c r="C2086"/>
      <c r="M2086"/>
    </row>
    <row r="2087" spans="3:13" ht="12.75" customHeight="1" x14ac:dyDescent="0.2">
      <c r="C2087"/>
      <c r="M2087"/>
    </row>
    <row r="2088" spans="3:13" ht="12.75" customHeight="1" x14ac:dyDescent="0.2">
      <c r="C2088"/>
      <c r="M2088"/>
    </row>
    <row r="2089" spans="3:13" ht="12.75" customHeight="1" x14ac:dyDescent="0.2">
      <c r="C2089"/>
      <c r="M2089"/>
    </row>
    <row r="2090" spans="3:13" ht="12.75" customHeight="1" x14ac:dyDescent="0.2">
      <c r="C2090"/>
      <c r="M2090"/>
    </row>
    <row r="2091" spans="3:13" ht="12.75" customHeight="1" x14ac:dyDescent="0.2">
      <c r="C2091"/>
      <c r="M2091"/>
    </row>
    <row r="2092" spans="3:13" ht="12.75" customHeight="1" x14ac:dyDescent="0.2">
      <c r="C2092"/>
      <c r="M2092"/>
    </row>
    <row r="2093" spans="3:13" ht="12.75" customHeight="1" x14ac:dyDescent="0.2">
      <c r="C2093"/>
      <c r="M2093"/>
    </row>
    <row r="2094" spans="3:13" ht="12.75" customHeight="1" x14ac:dyDescent="0.2">
      <c r="C2094"/>
      <c r="M2094"/>
    </row>
    <row r="2095" spans="3:13" ht="12.75" customHeight="1" x14ac:dyDescent="0.2">
      <c r="C2095"/>
      <c r="M2095"/>
    </row>
    <row r="2096" spans="3:13" ht="12.75" customHeight="1" x14ac:dyDescent="0.2">
      <c r="C2096"/>
      <c r="M2096"/>
    </row>
    <row r="2097" spans="3:13" ht="12.75" customHeight="1" x14ac:dyDescent="0.2">
      <c r="C2097"/>
      <c r="M2097"/>
    </row>
    <row r="2098" spans="3:13" ht="12.75" customHeight="1" x14ac:dyDescent="0.2">
      <c r="C2098"/>
      <c r="M2098"/>
    </row>
    <row r="2099" spans="3:13" ht="12.75" customHeight="1" x14ac:dyDescent="0.2">
      <c r="C2099"/>
      <c r="M2099"/>
    </row>
    <row r="2100" spans="3:13" ht="12.75" customHeight="1" x14ac:dyDescent="0.2">
      <c r="C2100"/>
      <c r="M2100"/>
    </row>
    <row r="2101" spans="3:13" ht="12.75" customHeight="1" x14ac:dyDescent="0.2">
      <c r="C2101"/>
      <c r="M2101"/>
    </row>
    <row r="2102" spans="3:13" ht="12.75" customHeight="1" x14ac:dyDescent="0.2">
      <c r="C2102"/>
      <c r="M2102"/>
    </row>
    <row r="2103" spans="3:13" ht="12.75" customHeight="1" x14ac:dyDescent="0.2">
      <c r="C2103"/>
      <c r="M2103"/>
    </row>
    <row r="2104" spans="3:13" ht="12.75" customHeight="1" x14ac:dyDescent="0.2">
      <c r="C2104"/>
      <c r="M2104"/>
    </row>
    <row r="2105" spans="3:13" ht="12.75" customHeight="1" x14ac:dyDescent="0.2">
      <c r="C2105"/>
      <c r="M2105"/>
    </row>
    <row r="2106" spans="3:13" ht="12.75" customHeight="1" x14ac:dyDescent="0.2">
      <c r="C2106"/>
      <c r="M2106"/>
    </row>
    <row r="2107" spans="3:13" ht="12.75" customHeight="1" x14ac:dyDescent="0.2">
      <c r="C2107"/>
      <c r="M2107"/>
    </row>
    <row r="2108" spans="3:13" ht="12.75" customHeight="1" x14ac:dyDescent="0.2">
      <c r="C2108"/>
      <c r="M2108"/>
    </row>
    <row r="2109" spans="3:13" ht="12.75" customHeight="1" x14ac:dyDescent="0.2">
      <c r="C2109"/>
      <c r="M2109"/>
    </row>
    <row r="2110" spans="3:13" ht="12.75" customHeight="1" x14ac:dyDescent="0.2">
      <c r="C2110"/>
      <c r="M2110"/>
    </row>
    <row r="2111" spans="3:13" ht="12.75" customHeight="1" x14ac:dyDescent="0.2">
      <c r="C2111"/>
      <c r="M2111"/>
    </row>
    <row r="2112" spans="3:13" ht="12.75" customHeight="1" x14ac:dyDescent="0.2">
      <c r="C2112"/>
      <c r="M2112"/>
    </row>
    <row r="2113" spans="3:13" ht="12.75" customHeight="1" x14ac:dyDescent="0.2">
      <c r="C2113"/>
      <c r="M2113"/>
    </row>
    <row r="2114" spans="3:13" ht="12.75" customHeight="1" x14ac:dyDescent="0.2">
      <c r="C2114"/>
      <c r="M2114"/>
    </row>
    <row r="2115" spans="3:13" ht="12.75" customHeight="1" x14ac:dyDescent="0.2">
      <c r="C2115"/>
      <c r="M2115"/>
    </row>
    <row r="2116" spans="3:13" ht="12.75" customHeight="1" x14ac:dyDescent="0.2">
      <c r="C2116"/>
      <c r="M2116"/>
    </row>
    <row r="2117" spans="3:13" ht="12.75" customHeight="1" x14ac:dyDescent="0.2">
      <c r="C2117"/>
      <c r="M2117"/>
    </row>
    <row r="2118" spans="3:13" ht="12.75" customHeight="1" x14ac:dyDescent="0.2">
      <c r="C2118"/>
      <c r="M2118"/>
    </row>
    <row r="2119" spans="3:13" ht="12.75" customHeight="1" x14ac:dyDescent="0.2">
      <c r="C2119"/>
      <c r="M2119"/>
    </row>
    <row r="2120" spans="3:13" ht="12.75" customHeight="1" x14ac:dyDescent="0.2">
      <c r="C2120"/>
      <c r="M2120"/>
    </row>
    <row r="2121" spans="3:13" ht="12.75" customHeight="1" x14ac:dyDescent="0.2">
      <c r="C2121"/>
      <c r="M2121"/>
    </row>
    <row r="2122" spans="3:13" ht="12.75" customHeight="1" x14ac:dyDescent="0.2">
      <c r="C2122"/>
      <c r="M2122"/>
    </row>
    <row r="2123" spans="3:13" ht="12.75" customHeight="1" x14ac:dyDescent="0.2">
      <c r="C2123"/>
      <c r="M2123"/>
    </row>
    <row r="2124" spans="3:13" ht="12.75" customHeight="1" x14ac:dyDescent="0.2">
      <c r="C2124"/>
      <c r="M2124"/>
    </row>
    <row r="2125" spans="3:13" ht="12.75" customHeight="1" x14ac:dyDescent="0.2">
      <c r="C2125"/>
      <c r="M2125"/>
    </row>
    <row r="2126" spans="3:13" ht="12.75" customHeight="1" x14ac:dyDescent="0.2">
      <c r="C2126"/>
      <c r="M2126"/>
    </row>
    <row r="2127" spans="3:13" ht="12.75" customHeight="1" x14ac:dyDescent="0.2">
      <c r="C2127"/>
      <c r="M2127"/>
    </row>
    <row r="2128" spans="3:13" ht="12.75" customHeight="1" x14ac:dyDescent="0.2">
      <c r="C2128"/>
      <c r="M2128"/>
    </row>
    <row r="2129" spans="3:13" ht="12.75" customHeight="1" x14ac:dyDescent="0.2">
      <c r="C2129"/>
      <c r="M2129"/>
    </row>
    <row r="2130" spans="3:13" ht="12.75" customHeight="1" x14ac:dyDescent="0.2">
      <c r="C2130"/>
      <c r="M2130"/>
    </row>
    <row r="2131" spans="3:13" ht="12.75" customHeight="1" x14ac:dyDescent="0.2">
      <c r="C2131"/>
      <c r="M2131"/>
    </row>
    <row r="2132" spans="3:13" ht="12.75" customHeight="1" x14ac:dyDescent="0.2">
      <c r="C2132"/>
      <c r="M2132"/>
    </row>
    <row r="2133" spans="3:13" ht="12.75" customHeight="1" x14ac:dyDescent="0.2">
      <c r="C2133"/>
      <c r="M2133"/>
    </row>
    <row r="2134" spans="3:13" ht="12.75" customHeight="1" x14ac:dyDescent="0.2">
      <c r="C2134"/>
      <c r="M2134"/>
    </row>
    <row r="2135" spans="3:13" ht="12.75" customHeight="1" x14ac:dyDescent="0.2">
      <c r="C2135"/>
      <c r="M2135"/>
    </row>
    <row r="2136" spans="3:13" ht="12.75" customHeight="1" x14ac:dyDescent="0.2">
      <c r="C2136"/>
      <c r="M2136"/>
    </row>
    <row r="2137" spans="3:13" ht="12.75" customHeight="1" x14ac:dyDescent="0.2">
      <c r="C2137"/>
      <c r="M2137"/>
    </row>
    <row r="2138" spans="3:13" ht="12.75" customHeight="1" x14ac:dyDescent="0.2">
      <c r="C2138"/>
      <c r="M2138"/>
    </row>
    <row r="2139" spans="3:13" ht="12.75" customHeight="1" x14ac:dyDescent="0.2">
      <c r="C2139"/>
      <c r="M2139"/>
    </row>
    <row r="2140" spans="3:13" ht="12.75" customHeight="1" x14ac:dyDescent="0.2">
      <c r="C2140"/>
      <c r="M2140"/>
    </row>
    <row r="2141" spans="3:13" ht="12.75" customHeight="1" x14ac:dyDescent="0.2">
      <c r="C2141"/>
      <c r="M2141"/>
    </row>
    <row r="2142" spans="3:13" ht="12.75" customHeight="1" x14ac:dyDescent="0.2">
      <c r="C2142"/>
      <c r="M2142"/>
    </row>
    <row r="2143" spans="3:13" ht="12.75" customHeight="1" x14ac:dyDescent="0.2">
      <c r="C2143"/>
      <c r="M2143"/>
    </row>
    <row r="2144" spans="3:13" ht="12.75" customHeight="1" x14ac:dyDescent="0.2">
      <c r="C2144"/>
      <c r="M2144"/>
    </row>
    <row r="2145" spans="3:13" ht="12.75" customHeight="1" x14ac:dyDescent="0.2">
      <c r="C2145"/>
      <c r="M2145"/>
    </row>
    <row r="2146" spans="3:13" ht="12.75" customHeight="1" x14ac:dyDescent="0.2">
      <c r="C2146"/>
      <c r="M2146"/>
    </row>
    <row r="2147" spans="3:13" ht="12.75" customHeight="1" x14ac:dyDescent="0.2">
      <c r="C2147"/>
      <c r="M2147"/>
    </row>
    <row r="2148" spans="3:13" ht="12.75" customHeight="1" x14ac:dyDescent="0.2">
      <c r="C2148"/>
      <c r="M2148"/>
    </row>
    <row r="2149" spans="3:13" ht="12.75" customHeight="1" x14ac:dyDescent="0.2">
      <c r="C2149"/>
      <c r="M2149"/>
    </row>
    <row r="2150" spans="3:13" ht="12.75" customHeight="1" x14ac:dyDescent="0.2">
      <c r="C2150"/>
      <c r="M2150"/>
    </row>
    <row r="2151" spans="3:13" ht="12.75" customHeight="1" x14ac:dyDescent="0.2">
      <c r="C2151"/>
      <c r="M2151"/>
    </row>
    <row r="2152" spans="3:13" ht="12.75" customHeight="1" x14ac:dyDescent="0.2">
      <c r="C2152"/>
      <c r="M2152"/>
    </row>
    <row r="2153" spans="3:13" ht="12.75" customHeight="1" x14ac:dyDescent="0.2">
      <c r="C2153"/>
      <c r="M2153"/>
    </row>
    <row r="2154" spans="3:13" ht="12.75" customHeight="1" x14ac:dyDescent="0.2">
      <c r="C2154"/>
      <c r="M2154"/>
    </row>
    <row r="2155" spans="3:13" ht="12.75" customHeight="1" x14ac:dyDescent="0.2">
      <c r="C2155"/>
      <c r="M2155"/>
    </row>
    <row r="2156" spans="3:13" ht="12.75" customHeight="1" x14ac:dyDescent="0.2">
      <c r="C2156"/>
      <c r="M2156"/>
    </row>
    <row r="2157" spans="3:13" ht="12.75" customHeight="1" x14ac:dyDescent="0.2">
      <c r="C2157"/>
      <c r="M2157"/>
    </row>
    <row r="2158" spans="3:13" ht="12.75" customHeight="1" x14ac:dyDescent="0.2">
      <c r="C2158"/>
      <c r="M2158"/>
    </row>
    <row r="2159" spans="3:13" ht="12.75" customHeight="1" x14ac:dyDescent="0.2">
      <c r="C2159"/>
      <c r="M2159"/>
    </row>
    <row r="2160" spans="3:13" ht="12.75" customHeight="1" x14ac:dyDescent="0.2">
      <c r="C2160"/>
      <c r="M2160"/>
    </row>
    <row r="2161" spans="3:13" ht="12.75" customHeight="1" x14ac:dyDescent="0.2">
      <c r="C2161"/>
      <c r="M2161"/>
    </row>
    <row r="2162" spans="3:13" ht="12.75" customHeight="1" x14ac:dyDescent="0.2">
      <c r="C2162"/>
      <c r="M2162"/>
    </row>
    <row r="2163" spans="3:13" ht="12.75" customHeight="1" x14ac:dyDescent="0.2">
      <c r="C2163"/>
      <c r="M2163"/>
    </row>
    <row r="2164" spans="3:13" ht="12.75" customHeight="1" x14ac:dyDescent="0.2">
      <c r="C2164"/>
      <c r="M2164"/>
    </row>
    <row r="2165" spans="3:13" ht="12.75" customHeight="1" x14ac:dyDescent="0.2">
      <c r="C2165"/>
      <c r="M2165"/>
    </row>
    <row r="2166" spans="3:13" ht="12.75" customHeight="1" x14ac:dyDescent="0.2">
      <c r="C2166"/>
      <c r="M2166"/>
    </row>
    <row r="2167" spans="3:13" ht="12.75" customHeight="1" x14ac:dyDescent="0.2">
      <c r="C2167"/>
      <c r="M2167"/>
    </row>
    <row r="2168" spans="3:13" ht="12.75" customHeight="1" x14ac:dyDescent="0.2">
      <c r="C2168"/>
      <c r="M2168"/>
    </row>
    <row r="2169" spans="3:13" ht="12.75" customHeight="1" x14ac:dyDescent="0.2">
      <c r="C2169"/>
      <c r="M2169"/>
    </row>
    <row r="2170" spans="3:13" ht="12.75" customHeight="1" x14ac:dyDescent="0.2">
      <c r="C2170"/>
      <c r="M2170"/>
    </row>
    <row r="2171" spans="3:13" ht="12.75" customHeight="1" x14ac:dyDescent="0.2">
      <c r="C2171"/>
      <c r="M2171"/>
    </row>
    <row r="2172" spans="3:13" ht="12.75" customHeight="1" x14ac:dyDescent="0.2">
      <c r="C2172"/>
      <c r="M2172"/>
    </row>
    <row r="2173" spans="3:13" ht="12.75" customHeight="1" x14ac:dyDescent="0.2">
      <c r="C2173"/>
      <c r="M2173"/>
    </row>
    <row r="2174" spans="3:13" ht="12.75" customHeight="1" x14ac:dyDescent="0.2">
      <c r="C2174"/>
      <c r="M2174"/>
    </row>
    <row r="2175" spans="3:13" ht="12.75" customHeight="1" x14ac:dyDescent="0.2">
      <c r="C2175"/>
      <c r="M2175"/>
    </row>
    <row r="2176" spans="3:13" ht="12.75" customHeight="1" x14ac:dyDescent="0.2">
      <c r="C2176"/>
      <c r="M2176"/>
    </row>
    <row r="2177" spans="3:13" ht="12.75" customHeight="1" x14ac:dyDescent="0.2">
      <c r="C2177"/>
      <c r="M2177"/>
    </row>
    <row r="2178" spans="3:13" ht="12.75" customHeight="1" x14ac:dyDescent="0.2">
      <c r="C2178"/>
      <c r="M2178"/>
    </row>
    <row r="2179" spans="3:13" ht="12.75" customHeight="1" x14ac:dyDescent="0.2">
      <c r="C2179"/>
      <c r="M2179"/>
    </row>
    <row r="2180" spans="3:13" ht="12.75" customHeight="1" x14ac:dyDescent="0.2">
      <c r="C2180"/>
      <c r="M2180"/>
    </row>
    <row r="2181" spans="3:13" ht="12.75" customHeight="1" x14ac:dyDescent="0.2">
      <c r="C2181"/>
      <c r="M2181"/>
    </row>
    <row r="2182" spans="3:13" ht="12.75" customHeight="1" x14ac:dyDescent="0.2">
      <c r="C2182"/>
      <c r="M2182"/>
    </row>
    <row r="2183" spans="3:13" ht="12.75" customHeight="1" x14ac:dyDescent="0.2">
      <c r="C2183"/>
      <c r="M2183"/>
    </row>
    <row r="2184" spans="3:13" ht="12.75" customHeight="1" x14ac:dyDescent="0.2">
      <c r="C2184"/>
      <c r="M2184"/>
    </row>
    <row r="2185" spans="3:13" ht="12.75" customHeight="1" x14ac:dyDescent="0.2">
      <c r="C2185"/>
      <c r="M2185"/>
    </row>
    <row r="2186" spans="3:13" ht="12.75" customHeight="1" x14ac:dyDescent="0.2">
      <c r="C2186"/>
      <c r="M2186"/>
    </row>
    <row r="2187" spans="3:13" ht="12.75" customHeight="1" x14ac:dyDescent="0.2">
      <c r="C2187"/>
      <c r="M2187"/>
    </row>
    <row r="2188" spans="3:13" ht="12.75" customHeight="1" x14ac:dyDescent="0.2">
      <c r="C2188"/>
      <c r="M2188"/>
    </row>
    <row r="2189" spans="3:13" ht="12.75" customHeight="1" x14ac:dyDescent="0.2">
      <c r="C2189"/>
      <c r="M2189"/>
    </row>
    <row r="2190" spans="3:13" ht="12.75" customHeight="1" x14ac:dyDescent="0.2">
      <c r="C2190"/>
      <c r="M2190"/>
    </row>
    <row r="2191" spans="3:13" ht="12.75" customHeight="1" x14ac:dyDescent="0.2">
      <c r="C2191"/>
      <c r="M2191"/>
    </row>
    <row r="2192" spans="3:13" ht="12.75" customHeight="1" x14ac:dyDescent="0.2">
      <c r="C2192"/>
      <c r="M2192"/>
    </row>
    <row r="2193" spans="3:13" ht="12.75" customHeight="1" x14ac:dyDescent="0.2">
      <c r="C2193"/>
      <c r="M2193"/>
    </row>
    <row r="2194" spans="3:13" ht="12.75" customHeight="1" x14ac:dyDescent="0.2">
      <c r="C2194"/>
      <c r="M2194"/>
    </row>
    <row r="2195" spans="3:13" ht="12.75" customHeight="1" x14ac:dyDescent="0.2">
      <c r="C2195"/>
      <c r="M2195"/>
    </row>
    <row r="2196" spans="3:13" ht="12.75" customHeight="1" x14ac:dyDescent="0.2">
      <c r="C2196"/>
      <c r="M2196"/>
    </row>
    <row r="2197" spans="3:13" ht="12.75" customHeight="1" x14ac:dyDescent="0.2">
      <c r="C2197"/>
      <c r="M2197"/>
    </row>
    <row r="2198" spans="3:13" ht="12.75" customHeight="1" x14ac:dyDescent="0.2">
      <c r="C2198"/>
      <c r="M2198"/>
    </row>
    <row r="2199" spans="3:13" ht="12.75" customHeight="1" x14ac:dyDescent="0.2">
      <c r="C2199"/>
      <c r="M2199"/>
    </row>
    <row r="2200" spans="3:13" ht="12.75" customHeight="1" x14ac:dyDescent="0.2">
      <c r="C2200"/>
      <c r="M2200"/>
    </row>
    <row r="2201" spans="3:13" ht="12.75" customHeight="1" x14ac:dyDescent="0.2">
      <c r="C2201"/>
      <c r="M2201"/>
    </row>
    <row r="2202" spans="3:13" ht="12.75" customHeight="1" x14ac:dyDescent="0.2">
      <c r="C2202"/>
      <c r="M2202"/>
    </row>
    <row r="2203" spans="3:13" ht="12.75" customHeight="1" x14ac:dyDescent="0.2">
      <c r="C2203"/>
      <c r="M2203"/>
    </row>
    <row r="2204" spans="3:13" ht="12.75" customHeight="1" x14ac:dyDescent="0.2">
      <c r="C2204"/>
      <c r="M2204"/>
    </row>
    <row r="2205" spans="3:13" ht="12.75" customHeight="1" x14ac:dyDescent="0.2">
      <c r="C2205"/>
      <c r="M2205"/>
    </row>
    <row r="2206" spans="3:13" ht="12.75" customHeight="1" x14ac:dyDescent="0.2">
      <c r="C2206"/>
      <c r="M2206"/>
    </row>
    <row r="2207" spans="3:13" ht="12.75" customHeight="1" x14ac:dyDescent="0.2">
      <c r="C2207"/>
      <c r="M2207"/>
    </row>
    <row r="2208" spans="3:13" ht="12.75" customHeight="1" x14ac:dyDescent="0.2">
      <c r="C2208"/>
      <c r="M2208"/>
    </row>
    <row r="2209" spans="3:13" ht="12.75" customHeight="1" x14ac:dyDescent="0.2">
      <c r="C2209"/>
      <c r="M2209"/>
    </row>
    <row r="2210" spans="3:13" ht="12.75" customHeight="1" x14ac:dyDescent="0.2">
      <c r="C2210"/>
      <c r="M2210"/>
    </row>
    <row r="2211" spans="3:13" ht="12.75" customHeight="1" x14ac:dyDescent="0.2">
      <c r="C2211"/>
      <c r="M2211"/>
    </row>
    <row r="2212" spans="3:13" ht="12.75" customHeight="1" x14ac:dyDescent="0.2">
      <c r="C2212"/>
      <c r="M2212"/>
    </row>
    <row r="2213" spans="3:13" ht="12.75" customHeight="1" x14ac:dyDescent="0.2">
      <c r="C2213"/>
      <c r="M2213"/>
    </row>
    <row r="2214" spans="3:13" ht="12.75" customHeight="1" x14ac:dyDescent="0.2">
      <c r="C2214"/>
      <c r="M2214"/>
    </row>
    <row r="2215" spans="3:13" ht="12.75" customHeight="1" x14ac:dyDescent="0.2">
      <c r="C2215"/>
      <c r="M2215"/>
    </row>
    <row r="2216" spans="3:13" ht="12.75" customHeight="1" x14ac:dyDescent="0.2">
      <c r="C2216"/>
      <c r="M2216"/>
    </row>
    <row r="2217" spans="3:13" ht="12.75" customHeight="1" x14ac:dyDescent="0.2">
      <c r="C2217"/>
      <c r="M2217"/>
    </row>
    <row r="2218" spans="3:13" ht="12.75" customHeight="1" x14ac:dyDescent="0.2">
      <c r="C2218"/>
      <c r="M2218"/>
    </row>
    <row r="2219" spans="3:13" ht="12.75" customHeight="1" x14ac:dyDescent="0.2">
      <c r="C2219"/>
      <c r="M2219"/>
    </row>
    <row r="2220" spans="3:13" ht="12.75" customHeight="1" x14ac:dyDescent="0.2">
      <c r="C2220"/>
      <c r="M2220"/>
    </row>
    <row r="2221" spans="3:13" ht="12.75" customHeight="1" x14ac:dyDescent="0.2">
      <c r="C2221"/>
      <c r="M2221"/>
    </row>
    <row r="2222" spans="3:13" ht="12.75" customHeight="1" x14ac:dyDescent="0.2">
      <c r="C2222"/>
      <c r="M2222"/>
    </row>
    <row r="2223" spans="3:13" ht="12.75" customHeight="1" x14ac:dyDescent="0.2">
      <c r="C2223"/>
      <c r="M2223"/>
    </row>
    <row r="2224" spans="3:13" ht="12.75" customHeight="1" x14ac:dyDescent="0.2">
      <c r="C2224"/>
      <c r="M2224"/>
    </row>
    <row r="2225" spans="3:13" ht="12.75" customHeight="1" x14ac:dyDescent="0.2">
      <c r="C2225"/>
      <c r="M2225"/>
    </row>
    <row r="2226" spans="3:13" ht="12.75" customHeight="1" x14ac:dyDescent="0.2">
      <c r="C2226"/>
      <c r="M2226"/>
    </row>
    <row r="2227" spans="3:13" ht="12.75" customHeight="1" x14ac:dyDescent="0.2">
      <c r="C2227"/>
      <c r="M2227"/>
    </row>
    <row r="2228" spans="3:13" ht="12.75" customHeight="1" x14ac:dyDescent="0.2">
      <c r="C2228"/>
      <c r="M2228"/>
    </row>
    <row r="2229" spans="3:13" ht="12.75" customHeight="1" x14ac:dyDescent="0.2">
      <c r="C2229"/>
      <c r="M2229"/>
    </row>
    <row r="2230" spans="3:13" ht="12.75" customHeight="1" x14ac:dyDescent="0.2">
      <c r="C2230"/>
      <c r="M2230"/>
    </row>
    <row r="2231" spans="3:13" ht="12.75" customHeight="1" x14ac:dyDescent="0.2">
      <c r="C2231"/>
      <c r="M2231"/>
    </row>
    <row r="2232" spans="3:13" ht="12.75" customHeight="1" x14ac:dyDescent="0.2">
      <c r="C2232"/>
      <c r="M2232"/>
    </row>
    <row r="2233" spans="3:13" ht="12.75" customHeight="1" x14ac:dyDescent="0.2">
      <c r="C2233"/>
      <c r="M2233"/>
    </row>
    <row r="2234" spans="3:13" ht="12.75" customHeight="1" x14ac:dyDescent="0.2">
      <c r="C2234"/>
      <c r="M2234"/>
    </row>
    <row r="2235" spans="3:13" ht="12.75" customHeight="1" x14ac:dyDescent="0.2">
      <c r="C2235"/>
      <c r="M2235"/>
    </row>
    <row r="2236" spans="3:13" ht="12.75" customHeight="1" x14ac:dyDescent="0.2">
      <c r="C2236"/>
      <c r="M2236"/>
    </row>
    <row r="2237" spans="3:13" ht="12.75" customHeight="1" x14ac:dyDescent="0.2">
      <c r="C2237"/>
      <c r="M2237"/>
    </row>
    <row r="2238" spans="3:13" ht="12.75" customHeight="1" x14ac:dyDescent="0.2">
      <c r="C2238"/>
      <c r="M2238"/>
    </row>
    <row r="2239" spans="3:13" ht="12.75" customHeight="1" x14ac:dyDescent="0.2">
      <c r="C2239"/>
      <c r="M2239"/>
    </row>
    <row r="2240" spans="3:13" ht="12.75" customHeight="1" x14ac:dyDescent="0.2">
      <c r="C2240"/>
      <c r="M2240"/>
    </row>
    <row r="2241" spans="3:13" ht="12.75" customHeight="1" x14ac:dyDescent="0.2">
      <c r="C2241"/>
      <c r="M2241"/>
    </row>
    <row r="2242" spans="3:13" ht="12.75" customHeight="1" x14ac:dyDescent="0.2">
      <c r="C2242"/>
      <c r="M2242"/>
    </row>
    <row r="2243" spans="3:13" ht="12.75" customHeight="1" x14ac:dyDescent="0.2">
      <c r="C2243"/>
      <c r="M2243"/>
    </row>
    <row r="2244" spans="3:13" ht="12.75" customHeight="1" x14ac:dyDescent="0.2">
      <c r="C2244"/>
      <c r="M2244"/>
    </row>
    <row r="2245" spans="3:13" ht="12.75" customHeight="1" x14ac:dyDescent="0.2">
      <c r="C2245"/>
      <c r="M2245"/>
    </row>
    <row r="2246" spans="3:13" ht="12.75" customHeight="1" x14ac:dyDescent="0.2">
      <c r="C2246"/>
      <c r="M2246"/>
    </row>
    <row r="2247" spans="3:13" ht="12.75" customHeight="1" x14ac:dyDescent="0.2">
      <c r="C2247"/>
      <c r="M2247"/>
    </row>
    <row r="2248" spans="3:13" ht="12.75" customHeight="1" x14ac:dyDescent="0.2">
      <c r="C2248"/>
      <c r="M2248"/>
    </row>
    <row r="2249" spans="3:13" ht="12.75" customHeight="1" x14ac:dyDescent="0.2">
      <c r="C2249"/>
      <c r="M2249"/>
    </row>
    <row r="2250" spans="3:13" ht="12.75" customHeight="1" x14ac:dyDescent="0.2">
      <c r="C2250"/>
      <c r="M2250"/>
    </row>
    <row r="2251" spans="3:13" ht="12.75" customHeight="1" x14ac:dyDescent="0.2">
      <c r="C2251"/>
      <c r="M2251"/>
    </row>
    <row r="2252" spans="3:13" ht="12.75" customHeight="1" x14ac:dyDescent="0.2">
      <c r="C2252"/>
      <c r="M2252"/>
    </row>
    <row r="2253" spans="3:13" ht="12.75" customHeight="1" x14ac:dyDescent="0.2">
      <c r="C2253"/>
      <c r="M2253"/>
    </row>
    <row r="2254" spans="3:13" ht="12.75" customHeight="1" x14ac:dyDescent="0.2">
      <c r="C2254"/>
      <c r="M2254"/>
    </row>
    <row r="2255" spans="3:13" ht="12.75" customHeight="1" x14ac:dyDescent="0.2">
      <c r="C2255"/>
      <c r="M2255"/>
    </row>
    <row r="2256" spans="3:13" ht="12.75" customHeight="1" x14ac:dyDescent="0.2">
      <c r="C2256"/>
      <c r="M2256"/>
    </row>
    <row r="2257" spans="3:13" ht="12.75" customHeight="1" x14ac:dyDescent="0.2">
      <c r="C2257"/>
      <c r="M2257"/>
    </row>
    <row r="2258" spans="3:13" ht="12.75" customHeight="1" x14ac:dyDescent="0.2">
      <c r="C2258"/>
      <c r="M2258"/>
    </row>
    <row r="2259" spans="3:13" ht="12.75" customHeight="1" x14ac:dyDescent="0.2">
      <c r="C2259"/>
      <c r="M2259"/>
    </row>
    <row r="2260" spans="3:13" ht="12.75" customHeight="1" x14ac:dyDescent="0.2">
      <c r="C2260"/>
      <c r="M2260"/>
    </row>
    <row r="2261" spans="3:13" ht="12.75" customHeight="1" x14ac:dyDescent="0.2">
      <c r="C2261"/>
      <c r="M2261"/>
    </row>
    <row r="2262" spans="3:13" ht="12.75" customHeight="1" x14ac:dyDescent="0.2">
      <c r="C2262"/>
      <c r="M2262"/>
    </row>
    <row r="2263" spans="3:13" ht="12.75" customHeight="1" x14ac:dyDescent="0.2">
      <c r="C2263"/>
      <c r="M2263"/>
    </row>
    <row r="2264" spans="3:13" ht="12.75" customHeight="1" x14ac:dyDescent="0.2">
      <c r="C2264"/>
      <c r="M2264"/>
    </row>
    <row r="2265" spans="3:13" ht="12.75" customHeight="1" x14ac:dyDescent="0.2">
      <c r="C2265"/>
      <c r="M2265"/>
    </row>
    <row r="2266" spans="3:13" ht="12.75" customHeight="1" x14ac:dyDescent="0.2">
      <c r="C2266"/>
      <c r="M2266"/>
    </row>
    <row r="2267" spans="3:13" ht="12.75" customHeight="1" x14ac:dyDescent="0.2">
      <c r="C2267"/>
      <c r="M2267"/>
    </row>
    <row r="2268" spans="3:13" ht="12.75" customHeight="1" x14ac:dyDescent="0.2">
      <c r="C2268"/>
      <c r="M2268"/>
    </row>
    <row r="2269" spans="3:13" ht="12.75" customHeight="1" x14ac:dyDescent="0.2">
      <c r="C2269"/>
      <c r="M2269"/>
    </row>
    <row r="2270" spans="3:13" ht="12.75" customHeight="1" x14ac:dyDescent="0.2">
      <c r="C2270"/>
      <c r="M2270"/>
    </row>
    <row r="2271" spans="3:13" ht="12.75" customHeight="1" x14ac:dyDescent="0.2">
      <c r="C2271"/>
      <c r="M2271"/>
    </row>
    <row r="2272" spans="3:13" ht="12.75" customHeight="1" x14ac:dyDescent="0.2">
      <c r="C2272"/>
      <c r="M2272"/>
    </row>
    <row r="2273" spans="3:13" ht="12.75" customHeight="1" x14ac:dyDescent="0.2">
      <c r="C2273"/>
      <c r="M2273"/>
    </row>
    <row r="2274" spans="3:13" ht="12.75" customHeight="1" x14ac:dyDescent="0.2">
      <c r="C2274"/>
      <c r="M2274"/>
    </row>
    <row r="2275" spans="3:13" ht="12.75" customHeight="1" x14ac:dyDescent="0.2">
      <c r="C2275"/>
      <c r="M2275"/>
    </row>
    <row r="2276" spans="3:13" ht="12.75" customHeight="1" x14ac:dyDescent="0.2">
      <c r="C2276"/>
      <c r="M2276"/>
    </row>
    <row r="2277" spans="3:13" ht="12.75" customHeight="1" x14ac:dyDescent="0.2">
      <c r="C2277"/>
      <c r="M2277"/>
    </row>
    <row r="2278" spans="3:13" ht="12.75" customHeight="1" x14ac:dyDescent="0.2">
      <c r="C2278"/>
      <c r="M2278"/>
    </row>
    <row r="2279" spans="3:13" ht="12.75" customHeight="1" x14ac:dyDescent="0.2">
      <c r="C2279"/>
      <c r="M2279"/>
    </row>
    <row r="2280" spans="3:13" ht="12.75" customHeight="1" x14ac:dyDescent="0.2">
      <c r="C2280"/>
      <c r="M2280"/>
    </row>
    <row r="2281" spans="3:13" ht="12.75" customHeight="1" x14ac:dyDescent="0.2">
      <c r="C2281"/>
      <c r="M2281"/>
    </row>
    <row r="2282" spans="3:13" ht="12.75" customHeight="1" x14ac:dyDescent="0.2">
      <c r="C2282"/>
      <c r="M2282"/>
    </row>
    <row r="2283" spans="3:13" ht="12.75" customHeight="1" x14ac:dyDescent="0.2">
      <c r="C2283"/>
      <c r="M2283"/>
    </row>
    <row r="2284" spans="3:13" ht="12.75" customHeight="1" x14ac:dyDescent="0.2">
      <c r="C2284"/>
      <c r="M2284"/>
    </row>
    <row r="2285" spans="3:13" ht="12.75" customHeight="1" x14ac:dyDescent="0.2">
      <c r="C2285"/>
      <c r="M2285"/>
    </row>
    <row r="2286" spans="3:13" ht="12.75" customHeight="1" x14ac:dyDescent="0.2">
      <c r="C2286"/>
      <c r="M2286"/>
    </row>
    <row r="2287" spans="3:13" ht="12.75" customHeight="1" x14ac:dyDescent="0.2">
      <c r="C2287"/>
      <c r="M2287"/>
    </row>
    <row r="2288" spans="3:13" ht="12.75" customHeight="1" x14ac:dyDescent="0.2">
      <c r="C2288"/>
      <c r="M2288"/>
    </row>
    <row r="2289" spans="3:13" ht="12.75" customHeight="1" x14ac:dyDescent="0.2">
      <c r="C2289"/>
      <c r="M2289"/>
    </row>
    <row r="2290" spans="3:13" ht="12.75" customHeight="1" x14ac:dyDescent="0.2">
      <c r="C2290"/>
      <c r="M2290"/>
    </row>
    <row r="2291" spans="3:13" ht="12.75" customHeight="1" x14ac:dyDescent="0.2">
      <c r="C2291"/>
      <c r="M2291"/>
    </row>
    <row r="2292" spans="3:13" ht="12.75" customHeight="1" x14ac:dyDescent="0.2">
      <c r="C2292"/>
      <c r="M2292"/>
    </row>
    <row r="2293" spans="3:13" ht="12.75" customHeight="1" x14ac:dyDescent="0.2">
      <c r="C2293"/>
      <c r="M2293"/>
    </row>
    <row r="2294" spans="3:13" ht="12.75" customHeight="1" x14ac:dyDescent="0.2">
      <c r="C2294"/>
      <c r="M2294"/>
    </row>
    <row r="2295" spans="3:13" ht="12.75" customHeight="1" x14ac:dyDescent="0.2">
      <c r="C2295"/>
      <c r="M2295"/>
    </row>
    <row r="2296" spans="3:13" ht="12.75" customHeight="1" x14ac:dyDescent="0.2">
      <c r="C2296"/>
      <c r="M2296"/>
    </row>
    <row r="2297" spans="3:13" ht="12.75" customHeight="1" x14ac:dyDescent="0.2">
      <c r="C2297"/>
      <c r="M2297"/>
    </row>
    <row r="2298" spans="3:13" ht="12.75" customHeight="1" x14ac:dyDescent="0.2">
      <c r="C2298"/>
      <c r="M2298"/>
    </row>
    <row r="2299" spans="3:13" ht="12.75" customHeight="1" x14ac:dyDescent="0.2">
      <c r="C2299"/>
      <c r="M2299"/>
    </row>
    <row r="2300" spans="3:13" ht="12.75" customHeight="1" x14ac:dyDescent="0.2">
      <c r="C2300"/>
      <c r="M2300"/>
    </row>
    <row r="2301" spans="3:13" ht="12.75" customHeight="1" x14ac:dyDescent="0.2">
      <c r="C2301"/>
      <c r="M2301"/>
    </row>
    <row r="2302" spans="3:13" ht="12.75" customHeight="1" x14ac:dyDescent="0.2">
      <c r="C2302"/>
      <c r="M2302"/>
    </row>
    <row r="2303" spans="3:13" ht="12.75" customHeight="1" x14ac:dyDescent="0.2">
      <c r="C2303"/>
      <c r="M2303"/>
    </row>
    <row r="2304" spans="3:13" ht="12.75" customHeight="1" x14ac:dyDescent="0.2">
      <c r="C2304"/>
      <c r="M2304"/>
    </row>
    <row r="2305" spans="3:13" ht="12.75" customHeight="1" x14ac:dyDescent="0.2">
      <c r="C2305"/>
      <c r="M2305"/>
    </row>
    <row r="2306" spans="3:13" ht="12.75" customHeight="1" x14ac:dyDescent="0.2">
      <c r="C2306"/>
      <c r="M2306"/>
    </row>
    <row r="2307" spans="3:13" ht="12.75" customHeight="1" x14ac:dyDescent="0.2">
      <c r="C2307"/>
      <c r="M2307"/>
    </row>
    <row r="2308" spans="3:13" ht="12.75" customHeight="1" x14ac:dyDescent="0.2">
      <c r="C2308"/>
      <c r="M2308"/>
    </row>
    <row r="2309" spans="3:13" ht="12.75" customHeight="1" x14ac:dyDescent="0.2">
      <c r="C2309"/>
      <c r="M2309"/>
    </row>
    <row r="2310" spans="3:13" ht="12.75" customHeight="1" x14ac:dyDescent="0.2">
      <c r="C2310"/>
      <c r="M2310"/>
    </row>
    <row r="2311" spans="3:13" ht="12.75" customHeight="1" x14ac:dyDescent="0.2">
      <c r="C2311"/>
      <c r="M2311"/>
    </row>
    <row r="2312" spans="3:13" ht="12.75" customHeight="1" x14ac:dyDescent="0.2">
      <c r="C2312"/>
      <c r="M2312"/>
    </row>
    <row r="2313" spans="3:13" ht="12.75" customHeight="1" x14ac:dyDescent="0.2">
      <c r="C2313"/>
      <c r="M2313"/>
    </row>
    <row r="2314" spans="3:13" ht="12.75" customHeight="1" x14ac:dyDescent="0.2">
      <c r="C2314"/>
      <c r="M2314"/>
    </row>
    <row r="2315" spans="3:13" ht="12.75" customHeight="1" x14ac:dyDescent="0.2">
      <c r="C2315"/>
      <c r="M2315"/>
    </row>
    <row r="2316" spans="3:13" ht="12.75" customHeight="1" x14ac:dyDescent="0.2">
      <c r="C2316"/>
      <c r="M2316"/>
    </row>
    <row r="2317" spans="3:13" ht="12.75" customHeight="1" x14ac:dyDescent="0.2">
      <c r="C2317"/>
      <c r="M2317"/>
    </row>
    <row r="2318" spans="3:13" ht="12.75" customHeight="1" x14ac:dyDescent="0.2">
      <c r="C2318"/>
      <c r="M2318"/>
    </row>
    <row r="2319" spans="3:13" ht="12.75" customHeight="1" x14ac:dyDescent="0.2">
      <c r="C2319"/>
      <c r="M2319"/>
    </row>
    <row r="2320" spans="3:13" ht="12.75" customHeight="1" x14ac:dyDescent="0.2">
      <c r="C2320"/>
      <c r="M2320"/>
    </row>
    <row r="2321" spans="3:13" ht="12.75" customHeight="1" x14ac:dyDescent="0.2">
      <c r="C2321"/>
      <c r="M2321"/>
    </row>
    <row r="2322" spans="3:13" ht="12.75" customHeight="1" x14ac:dyDescent="0.2">
      <c r="C2322"/>
      <c r="M2322"/>
    </row>
    <row r="2323" spans="3:13" ht="12.75" customHeight="1" x14ac:dyDescent="0.2">
      <c r="C2323"/>
      <c r="M2323"/>
    </row>
    <row r="2324" spans="3:13" ht="12.75" customHeight="1" x14ac:dyDescent="0.2">
      <c r="C2324"/>
      <c r="M2324"/>
    </row>
    <row r="2325" spans="3:13" ht="12.75" customHeight="1" x14ac:dyDescent="0.2">
      <c r="C2325"/>
      <c r="M2325"/>
    </row>
    <row r="2326" spans="3:13" ht="12.75" customHeight="1" x14ac:dyDescent="0.2">
      <c r="C2326"/>
      <c r="M2326"/>
    </row>
    <row r="2327" spans="3:13" ht="12.75" customHeight="1" x14ac:dyDescent="0.2">
      <c r="C2327"/>
      <c r="M2327"/>
    </row>
    <row r="2328" spans="3:13" ht="12.75" customHeight="1" x14ac:dyDescent="0.2">
      <c r="C2328"/>
      <c r="M2328"/>
    </row>
    <row r="2329" spans="3:13" ht="12.75" customHeight="1" x14ac:dyDescent="0.2">
      <c r="C2329"/>
      <c r="M2329"/>
    </row>
    <row r="2330" spans="3:13" ht="12.75" customHeight="1" x14ac:dyDescent="0.2">
      <c r="C2330"/>
      <c r="M2330"/>
    </row>
    <row r="2331" spans="3:13" ht="12.75" customHeight="1" x14ac:dyDescent="0.2">
      <c r="C2331"/>
      <c r="M2331"/>
    </row>
    <row r="2332" spans="3:13" ht="12.75" customHeight="1" x14ac:dyDescent="0.2">
      <c r="C2332"/>
      <c r="M2332"/>
    </row>
    <row r="2333" spans="3:13" ht="12.75" customHeight="1" x14ac:dyDescent="0.2">
      <c r="C2333"/>
      <c r="M2333"/>
    </row>
    <row r="2334" spans="3:13" ht="12.75" customHeight="1" x14ac:dyDescent="0.2">
      <c r="C2334"/>
      <c r="M2334"/>
    </row>
    <row r="2335" spans="3:13" ht="12.75" customHeight="1" x14ac:dyDescent="0.2">
      <c r="C2335"/>
      <c r="M2335"/>
    </row>
    <row r="2336" spans="3:13" ht="12.75" customHeight="1" x14ac:dyDescent="0.2">
      <c r="C2336"/>
      <c r="M2336"/>
    </row>
    <row r="2337" spans="3:13" ht="12.75" customHeight="1" x14ac:dyDescent="0.2">
      <c r="C2337"/>
      <c r="M2337"/>
    </row>
    <row r="2338" spans="3:13" ht="12.75" customHeight="1" x14ac:dyDescent="0.2">
      <c r="C2338"/>
      <c r="M2338"/>
    </row>
    <row r="2339" spans="3:13" ht="12.75" customHeight="1" x14ac:dyDescent="0.2">
      <c r="C2339"/>
      <c r="M2339"/>
    </row>
    <row r="2340" spans="3:13" ht="12.75" customHeight="1" x14ac:dyDescent="0.2">
      <c r="C2340"/>
      <c r="M2340"/>
    </row>
    <row r="2341" spans="3:13" ht="12.75" customHeight="1" x14ac:dyDescent="0.2">
      <c r="C2341"/>
      <c r="M2341"/>
    </row>
    <row r="2342" spans="3:13" ht="12.75" customHeight="1" x14ac:dyDescent="0.2">
      <c r="C2342"/>
      <c r="M2342"/>
    </row>
    <row r="2343" spans="3:13" ht="12.75" customHeight="1" x14ac:dyDescent="0.2">
      <c r="C2343"/>
      <c r="M2343"/>
    </row>
    <row r="2344" spans="3:13" ht="12.75" customHeight="1" x14ac:dyDescent="0.2">
      <c r="C2344"/>
      <c r="M2344"/>
    </row>
    <row r="2345" spans="3:13" ht="12.75" customHeight="1" x14ac:dyDescent="0.2">
      <c r="C2345"/>
      <c r="M2345"/>
    </row>
    <row r="2346" spans="3:13" ht="12.75" customHeight="1" x14ac:dyDescent="0.2">
      <c r="C2346"/>
      <c r="M2346"/>
    </row>
    <row r="2347" spans="3:13" ht="12.75" customHeight="1" x14ac:dyDescent="0.2">
      <c r="C2347"/>
      <c r="M2347"/>
    </row>
    <row r="2348" spans="3:13" ht="12.75" customHeight="1" x14ac:dyDescent="0.2">
      <c r="C2348"/>
      <c r="M2348"/>
    </row>
    <row r="2349" spans="3:13" ht="12.75" customHeight="1" x14ac:dyDescent="0.2">
      <c r="C2349"/>
      <c r="M2349"/>
    </row>
    <row r="2350" spans="3:13" ht="12.75" customHeight="1" x14ac:dyDescent="0.2">
      <c r="C2350"/>
      <c r="M2350"/>
    </row>
    <row r="2351" spans="3:13" ht="12.75" customHeight="1" x14ac:dyDescent="0.2">
      <c r="C2351"/>
      <c r="M2351"/>
    </row>
    <row r="2352" spans="3:13" ht="12.75" customHeight="1" x14ac:dyDescent="0.2">
      <c r="C2352"/>
      <c r="M2352"/>
    </row>
    <row r="2353" spans="3:13" ht="12.75" customHeight="1" x14ac:dyDescent="0.2">
      <c r="C2353"/>
      <c r="M2353"/>
    </row>
    <row r="2354" spans="3:13" ht="12.75" customHeight="1" x14ac:dyDescent="0.2">
      <c r="C2354"/>
      <c r="M2354"/>
    </row>
    <row r="2355" spans="3:13" ht="12.75" customHeight="1" x14ac:dyDescent="0.2">
      <c r="C2355"/>
      <c r="M2355"/>
    </row>
    <row r="2356" spans="3:13" ht="12.75" customHeight="1" x14ac:dyDescent="0.2">
      <c r="C2356"/>
      <c r="M2356"/>
    </row>
    <row r="2357" spans="3:13" ht="12.75" customHeight="1" x14ac:dyDescent="0.2">
      <c r="C2357"/>
      <c r="M2357"/>
    </row>
    <row r="2358" spans="3:13" ht="12.75" customHeight="1" x14ac:dyDescent="0.2">
      <c r="C2358"/>
      <c r="M2358"/>
    </row>
    <row r="2359" spans="3:13" ht="12.75" customHeight="1" x14ac:dyDescent="0.2">
      <c r="C2359"/>
      <c r="M2359"/>
    </row>
    <row r="2360" spans="3:13" ht="12.75" customHeight="1" x14ac:dyDescent="0.2">
      <c r="C2360"/>
      <c r="M2360"/>
    </row>
    <row r="2361" spans="3:13" ht="12.75" customHeight="1" x14ac:dyDescent="0.2">
      <c r="C2361"/>
      <c r="M2361"/>
    </row>
    <row r="2362" spans="3:13" ht="12.75" customHeight="1" x14ac:dyDescent="0.2">
      <c r="C2362"/>
      <c r="M2362"/>
    </row>
    <row r="2363" spans="3:13" ht="12.75" customHeight="1" x14ac:dyDescent="0.2">
      <c r="C2363"/>
      <c r="M2363"/>
    </row>
    <row r="2364" spans="3:13" ht="12.75" customHeight="1" x14ac:dyDescent="0.2">
      <c r="C2364"/>
      <c r="M2364"/>
    </row>
    <row r="2365" spans="3:13" ht="12.75" customHeight="1" x14ac:dyDescent="0.2">
      <c r="C2365"/>
      <c r="M2365"/>
    </row>
    <row r="2366" spans="3:13" ht="12.75" customHeight="1" x14ac:dyDescent="0.2">
      <c r="C2366"/>
      <c r="M2366"/>
    </row>
    <row r="2367" spans="3:13" ht="12.75" customHeight="1" x14ac:dyDescent="0.2">
      <c r="C2367"/>
      <c r="M2367"/>
    </row>
    <row r="2368" spans="3:13" ht="12.75" customHeight="1" x14ac:dyDescent="0.2">
      <c r="C2368"/>
      <c r="M2368"/>
    </row>
    <row r="2369" spans="3:13" ht="12.75" customHeight="1" x14ac:dyDescent="0.2">
      <c r="C2369"/>
      <c r="M2369"/>
    </row>
    <row r="2370" spans="3:13" ht="12.75" customHeight="1" x14ac:dyDescent="0.2">
      <c r="C2370"/>
      <c r="M2370"/>
    </row>
    <row r="2371" spans="3:13" ht="12.75" customHeight="1" x14ac:dyDescent="0.2">
      <c r="C2371"/>
      <c r="M2371"/>
    </row>
    <row r="2372" spans="3:13" ht="12.75" customHeight="1" x14ac:dyDescent="0.2">
      <c r="C2372"/>
      <c r="M2372"/>
    </row>
    <row r="2373" spans="3:13" ht="12.75" customHeight="1" x14ac:dyDescent="0.2">
      <c r="C2373"/>
      <c r="M2373"/>
    </row>
    <row r="2374" spans="3:13" ht="12.75" customHeight="1" x14ac:dyDescent="0.2">
      <c r="C2374"/>
      <c r="M2374"/>
    </row>
    <row r="2375" spans="3:13" ht="12.75" customHeight="1" x14ac:dyDescent="0.2">
      <c r="C2375"/>
      <c r="M2375"/>
    </row>
    <row r="2376" spans="3:13" ht="12.75" customHeight="1" x14ac:dyDescent="0.2">
      <c r="C2376"/>
      <c r="M2376"/>
    </row>
    <row r="2377" spans="3:13" ht="12.75" customHeight="1" x14ac:dyDescent="0.2">
      <c r="C2377"/>
      <c r="M2377"/>
    </row>
    <row r="2378" spans="3:13" ht="12.75" customHeight="1" x14ac:dyDescent="0.2">
      <c r="C2378"/>
      <c r="M2378"/>
    </row>
    <row r="2379" spans="3:13" ht="12.75" customHeight="1" x14ac:dyDescent="0.2">
      <c r="C2379"/>
      <c r="M2379"/>
    </row>
    <row r="2380" spans="3:13" ht="12.75" customHeight="1" x14ac:dyDescent="0.2">
      <c r="C2380"/>
      <c r="M2380"/>
    </row>
    <row r="2381" spans="3:13" ht="12.75" customHeight="1" x14ac:dyDescent="0.2">
      <c r="C2381"/>
      <c r="M2381"/>
    </row>
    <row r="2382" spans="3:13" ht="12.75" customHeight="1" x14ac:dyDescent="0.2">
      <c r="C2382"/>
      <c r="M2382"/>
    </row>
    <row r="2383" spans="3:13" ht="12.75" customHeight="1" x14ac:dyDescent="0.2">
      <c r="C2383"/>
      <c r="M2383"/>
    </row>
    <row r="2384" spans="3:13" ht="12.75" customHeight="1" x14ac:dyDescent="0.2">
      <c r="C2384"/>
      <c r="M2384"/>
    </row>
    <row r="2385" spans="3:13" ht="12.75" customHeight="1" x14ac:dyDescent="0.2">
      <c r="C2385"/>
      <c r="M2385"/>
    </row>
    <row r="2386" spans="3:13" ht="12.75" customHeight="1" x14ac:dyDescent="0.2">
      <c r="C2386"/>
      <c r="M2386"/>
    </row>
    <row r="2387" spans="3:13" ht="12.75" customHeight="1" x14ac:dyDescent="0.2">
      <c r="C2387"/>
      <c r="M2387"/>
    </row>
    <row r="2388" spans="3:13" ht="12.75" customHeight="1" x14ac:dyDescent="0.2">
      <c r="C2388"/>
      <c r="M2388"/>
    </row>
    <row r="2389" spans="3:13" ht="12.75" customHeight="1" x14ac:dyDescent="0.2">
      <c r="C2389"/>
      <c r="M2389"/>
    </row>
    <row r="2390" spans="3:13" ht="12.75" customHeight="1" x14ac:dyDescent="0.2">
      <c r="C2390"/>
      <c r="M2390"/>
    </row>
    <row r="2391" spans="3:13" ht="12.75" customHeight="1" x14ac:dyDescent="0.2">
      <c r="C2391"/>
      <c r="M2391"/>
    </row>
    <row r="2392" spans="3:13" ht="12.75" customHeight="1" x14ac:dyDescent="0.2">
      <c r="C2392"/>
      <c r="M2392"/>
    </row>
    <row r="2393" spans="3:13" ht="12.75" customHeight="1" x14ac:dyDescent="0.2">
      <c r="C2393"/>
      <c r="M2393"/>
    </row>
    <row r="2394" spans="3:13" ht="12.75" customHeight="1" x14ac:dyDescent="0.2">
      <c r="C2394"/>
      <c r="M2394"/>
    </row>
    <row r="2395" spans="3:13" ht="12.75" customHeight="1" x14ac:dyDescent="0.2">
      <c r="C2395"/>
      <c r="M2395"/>
    </row>
    <row r="2396" spans="3:13" ht="12.75" customHeight="1" x14ac:dyDescent="0.2">
      <c r="C2396"/>
      <c r="M2396"/>
    </row>
    <row r="2397" spans="3:13" ht="12.75" customHeight="1" x14ac:dyDescent="0.2">
      <c r="C2397"/>
      <c r="M2397"/>
    </row>
    <row r="2398" spans="3:13" ht="12.75" customHeight="1" x14ac:dyDescent="0.2">
      <c r="C2398"/>
      <c r="M2398"/>
    </row>
    <row r="2399" spans="3:13" ht="12.75" customHeight="1" x14ac:dyDescent="0.2">
      <c r="C2399"/>
      <c r="M2399"/>
    </row>
    <row r="2400" spans="3:13" ht="12.75" customHeight="1" x14ac:dyDescent="0.2">
      <c r="C2400"/>
      <c r="M2400"/>
    </row>
    <row r="2401" spans="3:13" ht="12.75" customHeight="1" x14ac:dyDescent="0.2">
      <c r="C2401"/>
      <c r="M2401"/>
    </row>
    <row r="2402" spans="3:13" ht="12.75" customHeight="1" x14ac:dyDescent="0.2">
      <c r="C2402"/>
      <c r="M2402"/>
    </row>
    <row r="2403" spans="3:13" ht="12.75" customHeight="1" x14ac:dyDescent="0.2">
      <c r="C2403"/>
      <c r="M2403"/>
    </row>
    <row r="2404" spans="3:13" ht="12.75" customHeight="1" x14ac:dyDescent="0.2">
      <c r="C2404"/>
      <c r="M2404"/>
    </row>
    <row r="2405" spans="3:13" ht="12.75" customHeight="1" x14ac:dyDescent="0.2">
      <c r="C2405"/>
      <c r="M2405"/>
    </row>
    <row r="2406" spans="3:13" ht="12.75" customHeight="1" x14ac:dyDescent="0.2">
      <c r="C2406"/>
      <c r="M2406"/>
    </row>
    <row r="2407" spans="3:13" ht="12.75" customHeight="1" x14ac:dyDescent="0.2">
      <c r="C2407"/>
      <c r="M2407"/>
    </row>
    <row r="2408" spans="3:13" ht="12.75" customHeight="1" x14ac:dyDescent="0.2">
      <c r="C2408"/>
      <c r="M2408"/>
    </row>
    <row r="2409" spans="3:13" ht="12.75" customHeight="1" x14ac:dyDescent="0.2">
      <c r="C2409"/>
      <c r="M2409"/>
    </row>
    <row r="2410" spans="3:13" ht="12.75" customHeight="1" x14ac:dyDescent="0.2">
      <c r="C2410"/>
      <c r="M2410"/>
    </row>
    <row r="2411" spans="3:13" ht="12.75" customHeight="1" x14ac:dyDescent="0.2">
      <c r="C2411"/>
      <c r="M2411"/>
    </row>
    <row r="2412" spans="3:13" ht="12.75" customHeight="1" x14ac:dyDescent="0.2">
      <c r="C2412"/>
      <c r="M2412"/>
    </row>
    <row r="2413" spans="3:13" ht="12.75" customHeight="1" x14ac:dyDescent="0.2">
      <c r="C2413"/>
      <c r="M2413"/>
    </row>
    <row r="2414" spans="3:13" ht="12.75" customHeight="1" x14ac:dyDescent="0.2">
      <c r="C2414"/>
      <c r="M2414"/>
    </row>
    <row r="2415" spans="3:13" ht="12.75" customHeight="1" x14ac:dyDescent="0.2">
      <c r="C2415"/>
      <c r="M2415"/>
    </row>
    <row r="2416" spans="3:13" ht="12.75" customHeight="1" x14ac:dyDescent="0.2">
      <c r="C2416"/>
      <c r="M2416"/>
    </row>
    <row r="2417" spans="3:13" ht="12.75" customHeight="1" x14ac:dyDescent="0.2">
      <c r="C2417"/>
      <c r="M2417"/>
    </row>
    <row r="2418" spans="3:13" ht="12.75" customHeight="1" x14ac:dyDescent="0.2">
      <c r="C2418"/>
      <c r="M2418"/>
    </row>
    <row r="2419" spans="3:13" ht="12.75" customHeight="1" x14ac:dyDescent="0.2">
      <c r="C2419"/>
      <c r="M2419"/>
    </row>
    <row r="2420" spans="3:13" ht="12.75" customHeight="1" x14ac:dyDescent="0.2">
      <c r="C2420"/>
      <c r="M2420"/>
    </row>
    <row r="2421" spans="3:13" ht="12.75" customHeight="1" x14ac:dyDescent="0.2">
      <c r="C2421"/>
      <c r="M2421"/>
    </row>
    <row r="2422" spans="3:13" ht="12.75" customHeight="1" x14ac:dyDescent="0.2">
      <c r="C2422"/>
      <c r="M2422"/>
    </row>
    <row r="2423" spans="3:13" ht="12.75" customHeight="1" x14ac:dyDescent="0.2">
      <c r="C2423"/>
      <c r="M2423"/>
    </row>
    <row r="2424" spans="3:13" ht="12.75" customHeight="1" x14ac:dyDescent="0.2">
      <c r="C2424"/>
      <c r="M2424"/>
    </row>
    <row r="2425" spans="3:13" ht="12.75" customHeight="1" x14ac:dyDescent="0.2">
      <c r="C2425"/>
      <c r="M2425"/>
    </row>
    <row r="2426" spans="3:13" ht="12.75" customHeight="1" x14ac:dyDescent="0.2">
      <c r="C2426"/>
      <c r="M2426"/>
    </row>
    <row r="2427" spans="3:13" ht="12.75" customHeight="1" x14ac:dyDescent="0.2">
      <c r="C2427"/>
      <c r="M2427"/>
    </row>
    <row r="2428" spans="3:13" ht="12.75" customHeight="1" x14ac:dyDescent="0.2">
      <c r="C2428"/>
      <c r="M2428"/>
    </row>
    <row r="2429" spans="3:13" ht="12.75" customHeight="1" x14ac:dyDescent="0.2">
      <c r="C2429"/>
      <c r="M2429"/>
    </row>
    <row r="2430" spans="3:13" ht="12.75" customHeight="1" x14ac:dyDescent="0.2">
      <c r="C2430"/>
      <c r="M2430"/>
    </row>
    <row r="2431" spans="3:13" ht="12.75" customHeight="1" x14ac:dyDescent="0.2">
      <c r="C2431"/>
      <c r="M2431"/>
    </row>
    <row r="2432" spans="3:13" ht="12.75" customHeight="1" x14ac:dyDescent="0.2">
      <c r="C2432"/>
      <c r="M2432"/>
    </row>
    <row r="2433" spans="3:13" ht="12.75" customHeight="1" x14ac:dyDescent="0.2">
      <c r="C2433"/>
      <c r="M2433"/>
    </row>
    <row r="2434" spans="3:13" ht="12.75" customHeight="1" x14ac:dyDescent="0.2">
      <c r="C2434"/>
      <c r="M2434"/>
    </row>
    <row r="2435" spans="3:13" ht="12.75" customHeight="1" x14ac:dyDescent="0.2">
      <c r="C2435"/>
      <c r="M2435"/>
    </row>
    <row r="2436" spans="3:13" ht="12.75" customHeight="1" x14ac:dyDescent="0.2">
      <c r="C2436"/>
      <c r="M2436"/>
    </row>
    <row r="2437" spans="3:13" ht="12.75" customHeight="1" x14ac:dyDescent="0.2">
      <c r="C2437"/>
      <c r="M2437"/>
    </row>
    <row r="2438" spans="3:13" ht="12.75" customHeight="1" x14ac:dyDescent="0.2">
      <c r="C2438"/>
      <c r="M2438"/>
    </row>
    <row r="2439" spans="3:13" ht="12.75" customHeight="1" x14ac:dyDescent="0.2">
      <c r="C2439"/>
      <c r="M2439"/>
    </row>
    <row r="2440" spans="3:13" ht="12.75" customHeight="1" x14ac:dyDescent="0.2">
      <c r="C2440"/>
      <c r="M2440"/>
    </row>
    <row r="2441" spans="3:13" ht="12.75" customHeight="1" x14ac:dyDescent="0.2">
      <c r="C2441"/>
      <c r="M2441"/>
    </row>
    <row r="2442" spans="3:13" ht="12.75" customHeight="1" x14ac:dyDescent="0.2">
      <c r="C2442"/>
      <c r="M2442"/>
    </row>
    <row r="2443" spans="3:13" ht="12.75" customHeight="1" x14ac:dyDescent="0.2">
      <c r="C2443"/>
      <c r="M2443"/>
    </row>
    <row r="2444" spans="3:13" ht="12.75" customHeight="1" x14ac:dyDescent="0.2">
      <c r="C2444"/>
      <c r="M2444"/>
    </row>
    <row r="2445" spans="3:13" ht="12.75" customHeight="1" x14ac:dyDescent="0.2">
      <c r="C2445"/>
      <c r="M2445"/>
    </row>
    <row r="2446" spans="3:13" ht="12.75" customHeight="1" x14ac:dyDescent="0.2">
      <c r="C2446"/>
      <c r="M2446"/>
    </row>
    <row r="2447" spans="3:13" ht="12.75" customHeight="1" x14ac:dyDescent="0.2">
      <c r="C2447"/>
      <c r="M2447"/>
    </row>
    <row r="2448" spans="3:13" ht="12.75" customHeight="1" x14ac:dyDescent="0.2">
      <c r="C2448"/>
      <c r="M2448"/>
    </row>
    <row r="2449" spans="3:13" ht="12.75" customHeight="1" x14ac:dyDescent="0.2">
      <c r="C2449"/>
      <c r="M2449"/>
    </row>
    <row r="2450" spans="3:13" ht="12.75" customHeight="1" x14ac:dyDescent="0.2">
      <c r="C2450"/>
      <c r="M2450"/>
    </row>
    <row r="2451" spans="3:13" ht="12.75" customHeight="1" x14ac:dyDescent="0.2">
      <c r="C2451"/>
      <c r="M2451"/>
    </row>
    <row r="2452" spans="3:13" ht="12.75" customHeight="1" x14ac:dyDescent="0.2">
      <c r="C2452"/>
      <c r="M2452"/>
    </row>
    <row r="2453" spans="3:13" ht="12.75" customHeight="1" x14ac:dyDescent="0.2">
      <c r="C2453"/>
      <c r="M2453"/>
    </row>
    <row r="2454" spans="3:13" ht="12.75" customHeight="1" x14ac:dyDescent="0.2">
      <c r="C2454"/>
      <c r="M2454"/>
    </row>
    <row r="2455" spans="3:13" ht="12.75" customHeight="1" x14ac:dyDescent="0.2">
      <c r="C2455"/>
      <c r="M2455"/>
    </row>
    <row r="2456" spans="3:13" ht="12.75" customHeight="1" x14ac:dyDescent="0.2">
      <c r="C2456"/>
      <c r="M2456"/>
    </row>
    <row r="2457" spans="3:13" ht="12.75" customHeight="1" x14ac:dyDescent="0.2">
      <c r="C2457"/>
      <c r="M2457"/>
    </row>
    <row r="2458" spans="3:13" ht="12.75" customHeight="1" x14ac:dyDescent="0.2">
      <c r="C2458"/>
      <c r="M2458"/>
    </row>
    <row r="2459" spans="3:13" ht="12.75" customHeight="1" x14ac:dyDescent="0.2">
      <c r="C2459"/>
      <c r="M2459"/>
    </row>
    <row r="2460" spans="3:13" ht="12.75" customHeight="1" x14ac:dyDescent="0.2">
      <c r="C2460"/>
      <c r="M2460"/>
    </row>
    <row r="2461" spans="3:13" ht="12.75" customHeight="1" x14ac:dyDescent="0.2">
      <c r="C2461"/>
      <c r="M2461"/>
    </row>
    <row r="2462" spans="3:13" ht="12.75" customHeight="1" x14ac:dyDescent="0.2">
      <c r="C2462"/>
      <c r="M2462"/>
    </row>
    <row r="2463" spans="3:13" ht="12.75" customHeight="1" x14ac:dyDescent="0.2">
      <c r="C2463"/>
      <c r="M2463"/>
    </row>
    <row r="2464" spans="3:13" ht="12.75" customHeight="1" x14ac:dyDescent="0.2">
      <c r="C2464"/>
      <c r="M2464"/>
    </row>
    <row r="2465" spans="3:13" ht="12.75" customHeight="1" x14ac:dyDescent="0.2">
      <c r="C2465"/>
      <c r="M2465"/>
    </row>
    <row r="2466" spans="3:13" ht="12.75" customHeight="1" x14ac:dyDescent="0.2">
      <c r="C2466"/>
      <c r="M2466"/>
    </row>
    <row r="2467" spans="3:13" ht="12.75" customHeight="1" x14ac:dyDescent="0.2">
      <c r="C2467"/>
      <c r="M2467"/>
    </row>
    <row r="2468" spans="3:13" ht="12.75" customHeight="1" x14ac:dyDescent="0.2">
      <c r="C2468"/>
      <c r="M2468"/>
    </row>
    <row r="2469" spans="3:13" ht="12.75" customHeight="1" x14ac:dyDescent="0.2">
      <c r="C2469"/>
      <c r="M2469"/>
    </row>
    <row r="2470" spans="3:13" ht="12.75" customHeight="1" x14ac:dyDescent="0.2">
      <c r="C2470"/>
      <c r="M2470"/>
    </row>
    <row r="2471" spans="3:13" ht="12.75" customHeight="1" x14ac:dyDescent="0.2">
      <c r="C2471"/>
      <c r="M2471"/>
    </row>
    <row r="2472" spans="3:13" ht="12.75" customHeight="1" x14ac:dyDescent="0.2">
      <c r="C2472"/>
      <c r="M2472"/>
    </row>
    <row r="2473" spans="3:13" ht="12.75" customHeight="1" x14ac:dyDescent="0.2">
      <c r="C2473"/>
      <c r="M2473"/>
    </row>
    <row r="2474" spans="3:13" ht="12.75" customHeight="1" x14ac:dyDescent="0.2">
      <c r="C2474"/>
      <c r="M2474"/>
    </row>
    <row r="2475" spans="3:13" ht="12.75" customHeight="1" x14ac:dyDescent="0.2">
      <c r="C2475"/>
      <c r="M2475"/>
    </row>
    <row r="2476" spans="3:13" ht="12.75" customHeight="1" x14ac:dyDescent="0.2">
      <c r="C2476"/>
      <c r="M2476"/>
    </row>
    <row r="2477" spans="3:13" ht="12.75" customHeight="1" x14ac:dyDescent="0.2">
      <c r="C2477"/>
      <c r="M2477"/>
    </row>
    <row r="2478" spans="3:13" ht="12.75" customHeight="1" x14ac:dyDescent="0.2">
      <c r="C2478"/>
      <c r="M2478"/>
    </row>
    <row r="2479" spans="3:13" ht="12.75" customHeight="1" x14ac:dyDescent="0.2">
      <c r="C2479"/>
      <c r="M2479"/>
    </row>
    <row r="2480" spans="3:13" ht="12.75" customHeight="1" x14ac:dyDescent="0.2">
      <c r="C2480"/>
      <c r="M2480"/>
    </row>
    <row r="2481" spans="3:13" ht="12.75" customHeight="1" x14ac:dyDescent="0.2">
      <c r="C2481"/>
      <c r="M2481"/>
    </row>
    <row r="2482" spans="3:13" ht="12.75" customHeight="1" x14ac:dyDescent="0.2">
      <c r="C2482"/>
      <c r="M2482"/>
    </row>
    <row r="2483" spans="3:13" ht="12.75" customHeight="1" x14ac:dyDescent="0.2">
      <c r="C2483"/>
      <c r="M2483"/>
    </row>
    <row r="2484" spans="3:13" ht="12.75" customHeight="1" x14ac:dyDescent="0.2">
      <c r="C2484"/>
      <c r="M2484"/>
    </row>
    <row r="2485" spans="3:13" ht="12.75" customHeight="1" x14ac:dyDescent="0.2">
      <c r="C2485"/>
      <c r="M2485"/>
    </row>
    <row r="2486" spans="3:13" ht="12.75" customHeight="1" x14ac:dyDescent="0.2">
      <c r="C2486"/>
      <c r="M2486"/>
    </row>
    <row r="2487" spans="3:13" ht="12.75" customHeight="1" x14ac:dyDescent="0.2">
      <c r="C2487"/>
      <c r="M2487"/>
    </row>
    <row r="2488" spans="3:13" ht="12.75" customHeight="1" x14ac:dyDescent="0.2">
      <c r="C2488"/>
      <c r="M2488"/>
    </row>
    <row r="2489" spans="3:13" ht="12.75" customHeight="1" x14ac:dyDescent="0.2">
      <c r="C2489"/>
      <c r="M2489"/>
    </row>
    <row r="2490" spans="3:13" ht="12.75" customHeight="1" x14ac:dyDescent="0.2">
      <c r="C2490"/>
      <c r="M2490"/>
    </row>
    <row r="2491" spans="3:13" ht="12.75" customHeight="1" x14ac:dyDescent="0.2">
      <c r="C2491"/>
      <c r="M2491"/>
    </row>
    <row r="2492" spans="3:13" ht="12.75" customHeight="1" x14ac:dyDescent="0.2">
      <c r="C2492"/>
      <c r="M2492"/>
    </row>
    <row r="2493" spans="3:13" ht="12.75" customHeight="1" x14ac:dyDescent="0.2">
      <c r="C2493"/>
      <c r="M2493"/>
    </row>
    <row r="2494" spans="3:13" ht="12.75" customHeight="1" x14ac:dyDescent="0.2">
      <c r="C2494"/>
      <c r="M2494"/>
    </row>
    <row r="2495" spans="3:13" ht="12.75" customHeight="1" x14ac:dyDescent="0.2">
      <c r="C2495"/>
      <c r="M2495"/>
    </row>
    <row r="2496" spans="3:13" ht="12.75" customHeight="1" x14ac:dyDescent="0.2">
      <c r="C2496"/>
      <c r="M2496"/>
    </row>
    <row r="2497" spans="3:13" ht="12.75" customHeight="1" x14ac:dyDescent="0.2">
      <c r="C2497"/>
      <c r="M2497"/>
    </row>
    <row r="2498" spans="3:13" ht="12.75" customHeight="1" x14ac:dyDescent="0.2">
      <c r="C2498"/>
      <c r="M2498"/>
    </row>
    <row r="2499" spans="3:13" ht="12.75" customHeight="1" x14ac:dyDescent="0.2">
      <c r="C2499"/>
      <c r="M2499"/>
    </row>
    <row r="2500" spans="3:13" ht="12.75" customHeight="1" x14ac:dyDescent="0.2">
      <c r="C2500"/>
      <c r="M2500"/>
    </row>
    <row r="2501" spans="3:13" ht="12.75" customHeight="1" x14ac:dyDescent="0.2">
      <c r="C2501"/>
      <c r="M2501"/>
    </row>
    <row r="2502" spans="3:13" ht="12.75" customHeight="1" x14ac:dyDescent="0.2">
      <c r="C2502"/>
      <c r="M2502"/>
    </row>
    <row r="2503" spans="3:13" ht="12.75" customHeight="1" x14ac:dyDescent="0.2">
      <c r="C2503"/>
      <c r="M2503"/>
    </row>
    <row r="2504" spans="3:13" ht="12.75" customHeight="1" x14ac:dyDescent="0.2">
      <c r="C2504"/>
      <c r="M2504"/>
    </row>
    <row r="2505" spans="3:13" ht="12.75" customHeight="1" x14ac:dyDescent="0.2">
      <c r="C2505"/>
      <c r="M2505"/>
    </row>
    <row r="2506" spans="3:13" ht="12.75" customHeight="1" x14ac:dyDescent="0.2">
      <c r="C2506"/>
      <c r="M2506"/>
    </row>
    <row r="2507" spans="3:13" ht="12.75" customHeight="1" x14ac:dyDescent="0.2">
      <c r="C2507"/>
      <c r="M2507"/>
    </row>
    <row r="2508" spans="3:13" ht="12.75" customHeight="1" x14ac:dyDescent="0.2">
      <c r="C2508"/>
      <c r="M2508"/>
    </row>
    <row r="2509" spans="3:13" ht="12.75" customHeight="1" x14ac:dyDescent="0.2">
      <c r="C2509"/>
      <c r="M2509"/>
    </row>
    <row r="2510" spans="3:13" ht="12.75" customHeight="1" x14ac:dyDescent="0.2">
      <c r="C2510"/>
      <c r="M2510"/>
    </row>
    <row r="2511" spans="3:13" ht="12.75" customHeight="1" x14ac:dyDescent="0.2">
      <c r="C2511"/>
      <c r="M2511"/>
    </row>
    <row r="2512" spans="3:13" ht="12.75" customHeight="1" x14ac:dyDescent="0.2">
      <c r="C2512"/>
      <c r="M2512"/>
    </row>
    <row r="2513" spans="3:13" ht="12.75" customHeight="1" x14ac:dyDescent="0.2">
      <c r="C2513"/>
      <c r="M2513"/>
    </row>
    <row r="2514" spans="3:13" ht="12.75" customHeight="1" x14ac:dyDescent="0.2">
      <c r="C2514"/>
      <c r="M2514"/>
    </row>
    <row r="2515" spans="3:13" ht="12.75" customHeight="1" x14ac:dyDescent="0.2">
      <c r="C2515"/>
      <c r="M2515"/>
    </row>
    <row r="2516" spans="3:13" ht="12.75" customHeight="1" x14ac:dyDescent="0.2">
      <c r="C2516"/>
      <c r="M2516"/>
    </row>
    <row r="2517" spans="3:13" ht="12.75" customHeight="1" x14ac:dyDescent="0.2">
      <c r="C2517"/>
      <c r="M2517"/>
    </row>
    <row r="2518" spans="3:13" ht="12.75" customHeight="1" x14ac:dyDescent="0.2">
      <c r="C2518"/>
      <c r="M2518"/>
    </row>
    <row r="2519" spans="3:13" ht="12.75" customHeight="1" x14ac:dyDescent="0.2">
      <c r="C2519"/>
      <c r="M2519"/>
    </row>
    <row r="2520" spans="3:13" ht="12.75" customHeight="1" x14ac:dyDescent="0.2">
      <c r="C2520"/>
      <c r="M2520"/>
    </row>
    <row r="2521" spans="3:13" ht="12.75" customHeight="1" x14ac:dyDescent="0.2">
      <c r="C2521"/>
      <c r="M2521"/>
    </row>
    <row r="2522" spans="3:13" ht="12.75" customHeight="1" x14ac:dyDescent="0.2">
      <c r="C2522"/>
      <c r="M2522"/>
    </row>
    <row r="2523" spans="3:13" ht="12.75" customHeight="1" x14ac:dyDescent="0.2">
      <c r="C2523"/>
      <c r="M2523"/>
    </row>
    <row r="2524" spans="3:13" ht="12.75" customHeight="1" x14ac:dyDescent="0.2">
      <c r="C2524"/>
      <c r="M2524"/>
    </row>
    <row r="2525" spans="3:13" ht="12.75" customHeight="1" x14ac:dyDescent="0.2">
      <c r="C2525"/>
      <c r="M2525"/>
    </row>
    <row r="2526" spans="3:13" ht="12.75" customHeight="1" x14ac:dyDescent="0.2">
      <c r="C2526"/>
      <c r="M2526"/>
    </row>
    <row r="2527" spans="3:13" ht="12.75" customHeight="1" x14ac:dyDescent="0.2">
      <c r="C2527"/>
      <c r="M2527"/>
    </row>
    <row r="2528" spans="3:13" ht="12.75" customHeight="1" x14ac:dyDescent="0.2">
      <c r="C2528"/>
      <c r="M2528"/>
    </row>
    <row r="2529" spans="3:13" ht="12.75" customHeight="1" x14ac:dyDescent="0.2">
      <c r="C2529"/>
      <c r="M2529"/>
    </row>
    <row r="2530" spans="3:13" ht="12.75" customHeight="1" x14ac:dyDescent="0.2">
      <c r="C2530"/>
      <c r="M2530"/>
    </row>
    <row r="2531" spans="3:13" ht="12.75" customHeight="1" x14ac:dyDescent="0.2">
      <c r="C2531"/>
      <c r="M2531"/>
    </row>
    <row r="2532" spans="3:13" ht="12.75" customHeight="1" x14ac:dyDescent="0.2">
      <c r="C2532"/>
      <c r="M2532"/>
    </row>
    <row r="2533" spans="3:13" ht="12.75" customHeight="1" x14ac:dyDescent="0.2">
      <c r="C2533"/>
      <c r="M2533"/>
    </row>
    <row r="2534" spans="3:13" ht="12.75" customHeight="1" x14ac:dyDescent="0.2">
      <c r="C2534"/>
      <c r="M2534"/>
    </row>
    <row r="2535" spans="3:13" ht="12.75" customHeight="1" x14ac:dyDescent="0.2">
      <c r="C2535"/>
      <c r="M2535"/>
    </row>
    <row r="2536" spans="3:13" ht="12.75" customHeight="1" x14ac:dyDescent="0.2">
      <c r="C2536"/>
      <c r="M2536"/>
    </row>
    <row r="2537" spans="3:13" ht="12.75" customHeight="1" x14ac:dyDescent="0.2">
      <c r="C2537"/>
      <c r="M2537"/>
    </row>
    <row r="2538" spans="3:13" ht="12.75" customHeight="1" x14ac:dyDescent="0.2">
      <c r="C2538"/>
      <c r="M2538"/>
    </row>
    <row r="2539" spans="3:13" ht="12.75" customHeight="1" x14ac:dyDescent="0.2">
      <c r="C2539"/>
      <c r="M2539"/>
    </row>
    <row r="2540" spans="3:13" ht="12.75" customHeight="1" x14ac:dyDescent="0.2">
      <c r="C2540"/>
      <c r="M2540"/>
    </row>
    <row r="2541" spans="3:13" ht="12.75" customHeight="1" x14ac:dyDescent="0.2">
      <c r="C2541"/>
      <c r="M2541"/>
    </row>
    <row r="2542" spans="3:13" ht="12.75" customHeight="1" x14ac:dyDescent="0.2">
      <c r="C2542"/>
      <c r="M2542"/>
    </row>
    <row r="2543" spans="3:13" ht="12.75" customHeight="1" x14ac:dyDescent="0.2">
      <c r="C2543"/>
      <c r="M2543"/>
    </row>
    <row r="2544" spans="3:13" ht="12.75" customHeight="1" x14ac:dyDescent="0.2">
      <c r="C2544"/>
      <c r="M2544"/>
    </row>
    <row r="2545" spans="3:13" ht="12.75" customHeight="1" x14ac:dyDescent="0.2">
      <c r="C2545"/>
      <c r="M2545"/>
    </row>
    <row r="2546" spans="3:13" ht="12.75" customHeight="1" x14ac:dyDescent="0.2">
      <c r="C2546"/>
      <c r="M2546"/>
    </row>
    <row r="2547" spans="3:13" ht="12.75" customHeight="1" x14ac:dyDescent="0.2">
      <c r="C2547"/>
      <c r="M2547"/>
    </row>
    <row r="2548" spans="3:13" ht="12.75" customHeight="1" x14ac:dyDescent="0.2">
      <c r="C2548"/>
      <c r="M2548"/>
    </row>
    <row r="2549" spans="3:13" ht="12.75" customHeight="1" x14ac:dyDescent="0.2">
      <c r="C2549"/>
      <c r="M2549"/>
    </row>
    <row r="2550" spans="3:13" ht="12.75" customHeight="1" x14ac:dyDescent="0.2">
      <c r="C2550"/>
      <c r="M2550"/>
    </row>
    <row r="2551" spans="3:13" ht="12.75" customHeight="1" x14ac:dyDescent="0.2">
      <c r="C2551"/>
      <c r="M2551"/>
    </row>
    <row r="2552" spans="3:13" ht="12.75" customHeight="1" x14ac:dyDescent="0.2">
      <c r="C2552"/>
      <c r="M2552"/>
    </row>
    <row r="2553" spans="3:13" ht="12.75" customHeight="1" x14ac:dyDescent="0.2">
      <c r="C2553"/>
      <c r="M2553"/>
    </row>
    <row r="2554" spans="3:13" ht="12.75" customHeight="1" x14ac:dyDescent="0.2">
      <c r="C2554"/>
      <c r="M2554"/>
    </row>
    <row r="2555" spans="3:13" ht="12.75" customHeight="1" x14ac:dyDescent="0.2">
      <c r="C2555"/>
      <c r="M2555"/>
    </row>
    <row r="2556" spans="3:13" ht="12.75" customHeight="1" x14ac:dyDescent="0.2">
      <c r="C2556"/>
      <c r="M2556"/>
    </row>
    <row r="2557" spans="3:13" ht="12.75" customHeight="1" x14ac:dyDescent="0.2">
      <c r="C2557"/>
      <c r="M2557"/>
    </row>
    <row r="2558" spans="3:13" ht="12.75" customHeight="1" x14ac:dyDescent="0.2">
      <c r="C2558"/>
      <c r="M2558"/>
    </row>
    <row r="2559" spans="3:13" ht="12.75" customHeight="1" x14ac:dyDescent="0.2">
      <c r="C2559"/>
      <c r="M2559"/>
    </row>
    <row r="2560" spans="3:13" ht="12.75" customHeight="1" x14ac:dyDescent="0.2">
      <c r="C2560"/>
      <c r="M2560"/>
    </row>
    <row r="2561" spans="3:13" ht="12.75" customHeight="1" x14ac:dyDescent="0.2">
      <c r="C2561"/>
      <c r="M2561"/>
    </row>
    <row r="2562" spans="3:13" ht="12.75" customHeight="1" x14ac:dyDescent="0.2">
      <c r="C2562"/>
      <c r="M2562"/>
    </row>
    <row r="2563" spans="3:13" ht="12.75" customHeight="1" x14ac:dyDescent="0.2">
      <c r="C2563"/>
      <c r="M2563"/>
    </row>
    <row r="2564" spans="3:13" ht="12.75" customHeight="1" x14ac:dyDescent="0.2">
      <c r="C2564"/>
      <c r="M2564"/>
    </row>
    <row r="2565" spans="3:13" ht="12.75" customHeight="1" x14ac:dyDescent="0.2">
      <c r="C2565"/>
      <c r="M2565"/>
    </row>
    <row r="2566" spans="3:13" ht="12.75" customHeight="1" x14ac:dyDescent="0.2">
      <c r="C2566"/>
      <c r="M2566"/>
    </row>
    <row r="2567" spans="3:13" ht="12.75" customHeight="1" x14ac:dyDescent="0.2">
      <c r="C2567"/>
      <c r="M2567"/>
    </row>
    <row r="2568" spans="3:13" ht="12.75" customHeight="1" x14ac:dyDescent="0.2">
      <c r="C2568"/>
      <c r="M2568"/>
    </row>
    <row r="2569" spans="3:13" ht="12.75" customHeight="1" x14ac:dyDescent="0.2">
      <c r="C2569"/>
      <c r="M2569"/>
    </row>
    <row r="2570" spans="3:13" ht="12.75" customHeight="1" x14ac:dyDescent="0.2">
      <c r="C2570"/>
      <c r="M2570"/>
    </row>
    <row r="2571" spans="3:13" ht="12.75" customHeight="1" x14ac:dyDescent="0.2">
      <c r="C2571"/>
      <c r="M2571"/>
    </row>
    <row r="2572" spans="3:13" ht="12.75" customHeight="1" x14ac:dyDescent="0.2">
      <c r="C2572"/>
      <c r="M2572"/>
    </row>
    <row r="2573" spans="3:13" ht="12.75" customHeight="1" x14ac:dyDescent="0.2">
      <c r="C2573"/>
      <c r="M2573"/>
    </row>
    <row r="2574" spans="3:13" ht="12.75" customHeight="1" x14ac:dyDescent="0.2">
      <c r="C2574"/>
      <c r="M2574"/>
    </row>
    <row r="2575" spans="3:13" ht="12.75" customHeight="1" x14ac:dyDescent="0.2">
      <c r="C2575"/>
      <c r="M2575"/>
    </row>
    <row r="2576" spans="3:13" ht="12.75" customHeight="1" x14ac:dyDescent="0.2">
      <c r="C2576"/>
      <c r="M2576"/>
    </row>
    <row r="2577" spans="3:13" ht="12.75" customHeight="1" x14ac:dyDescent="0.2">
      <c r="C2577"/>
      <c r="M2577"/>
    </row>
    <row r="2578" spans="3:13" ht="12.75" customHeight="1" x14ac:dyDescent="0.2">
      <c r="C2578"/>
      <c r="M2578"/>
    </row>
    <row r="2579" spans="3:13" ht="12.75" customHeight="1" x14ac:dyDescent="0.2">
      <c r="C2579"/>
      <c r="M2579"/>
    </row>
    <row r="2580" spans="3:13" ht="12.75" customHeight="1" x14ac:dyDescent="0.2">
      <c r="C2580"/>
      <c r="M2580"/>
    </row>
    <row r="2581" spans="3:13" ht="12.75" customHeight="1" x14ac:dyDescent="0.2">
      <c r="C2581"/>
      <c r="M2581"/>
    </row>
    <row r="2582" spans="3:13" ht="12.75" customHeight="1" x14ac:dyDescent="0.2">
      <c r="C2582"/>
      <c r="M2582"/>
    </row>
    <row r="2583" spans="3:13" ht="12.75" customHeight="1" x14ac:dyDescent="0.2">
      <c r="C2583"/>
      <c r="M2583"/>
    </row>
    <row r="2584" spans="3:13" ht="12.75" customHeight="1" x14ac:dyDescent="0.2">
      <c r="C2584"/>
      <c r="M2584"/>
    </row>
    <row r="2585" spans="3:13" ht="12.75" customHeight="1" x14ac:dyDescent="0.2">
      <c r="C2585"/>
      <c r="M2585"/>
    </row>
    <row r="2586" spans="3:13" ht="12.75" customHeight="1" x14ac:dyDescent="0.2">
      <c r="C2586"/>
      <c r="M2586"/>
    </row>
    <row r="2587" spans="3:13" ht="12.75" customHeight="1" x14ac:dyDescent="0.2">
      <c r="C2587"/>
      <c r="M2587"/>
    </row>
    <row r="2588" spans="3:13" ht="12.75" customHeight="1" x14ac:dyDescent="0.2">
      <c r="C2588"/>
      <c r="M2588"/>
    </row>
    <row r="2589" spans="3:13" ht="12.75" customHeight="1" x14ac:dyDescent="0.2">
      <c r="C2589"/>
      <c r="M2589"/>
    </row>
    <row r="2590" spans="3:13" ht="12.75" customHeight="1" x14ac:dyDescent="0.2">
      <c r="C2590"/>
      <c r="M2590"/>
    </row>
    <row r="2591" spans="3:13" ht="12.75" customHeight="1" x14ac:dyDescent="0.2">
      <c r="C2591"/>
      <c r="M2591"/>
    </row>
    <row r="2592" spans="3:13" ht="12.75" customHeight="1" x14ac:dyDescent="0.2">
      <c r="C2592"/>
      <c r="M2592"/>
    </row>
    <row r="2593" spans="3:13" ht="12.75" customHeight="1" x14ac:dyDescent="0.2">
      <c r="C2593"/>
      <c r="M2593"/>
    </row>
    <row r="2594" spans="3:13" ht="12.75" customHeight="1" x14ac:dyDescent="0.2">
      <c r="C2594"/>
      <c r="M2594"/>
    </row>
    <row r="2595" spans="3:13" ht="12.75" customHeight="1" x14ac:dyDescent="0.2">
      <c r="C2595"/>
      <c r="M2595"/>
    </row>
    <row r="2596" spans="3:13" ht="12.75" customHeight="1" x14ac:dyDescent="0.2">
      <c r="C2596"/>
      <c r="M2596"/>
    </row>
    <row r="2597" spans="3:13" ht="12.75" customHeight="1" x14ac:dyDescent="0.2">
      <c r="C2597"/>
      <c r="M2597"/>
    </row>
    <row r="2598" spans="3:13" ht="12.75" customHeight="1" x14ac:dyDescent="0.2">
      <c r="C2598"/>
      <c r="M2598"/>
    </row>
    <row r="2599" spans="3:13" ht="12.75" customHeight="1" x14ac:dyDescent="0.2">
      <c r="C2599"/>
      <c r="M2599"/>
    </row>
    <row r="2600" spans="3:13" ht="12.75" customHeight="1" x14ac:dyDescent="0.2">
      <c r="C2600"/>
      <c r="M2600"/>
    </row>
    <row r="2601" spans="3:13" ht="12.75" customHeight="1" x14ac:dyDescent="0.2">
      <c r="C2601"/>
      <c r="M2601"/>
    </row>
    <row r="2602" spans="3:13" ht="12.75" customHeight="1" x14ac:dyDescent="0.2">
      <c r="C2602"/>
      <c r="M2602"/>
    </row>
    <row r="2603" spans="3:13" ht="12.75" customHeight="1" x14ac:dyDescent="0.2">
      <c r="C2603"/>
      <c r="M2603"/>
    </row>
    <row r="2604" spans="3:13" ht="12.75" customHeight="1" x14ac:dyDescent="0.2">
      <c r="C2604"/>
      <c r="M2604"/>
    </row>
    <row r="2605" spans="3:13" ht="12.75" customHeight="1" x14ac:dyDescent="0.2">
      <c r="C2605"/>
      <c r="M2605"/>
    </row>
    <row r="2606" spans="3:13" ht="12.75" customHeight="1" x14ac:dyDescent="0.2">
      <c r="C2606"/>
      <c r="M2606"/>
    </row>
    <row r="2607" spans="3:13" ht="12.75" customHeight="1" x14ac:dyDescent="0.2">
      <c r="C2607"/>
      <c r="M2607"/>
    </row>
    <row r="2608" spans="3:13" ht="12.75" customHeight="1" x14ac:dyDescent="0.2">
      <c r="C2608"/>
      <c r="M2608"/>
    </row>
    <row r="2609" spans="3:13" ht="12.75" customHeight="1" x14ac:dyDescent="0.2">
      <c r="C2609"/>
      <c r="M2609"/>
    </row>
    <row r="2610" spans="3:13" ht="12.75" customHeight="1" x14ac:dyDescent="0.2">
      <c r="C2610"/>
      <c r="M2610"/>
    </row>
    <row r="2611" spans="3:13" ht="12.75" customHeight="1" x14ac:dyDescent="0.2">
      <c r="C2611"/>
      <c r="M2611"/>
    </row>
    <row r="2612" spans="3:13" ht="12.75" customHeight="1" x14ac:dyDescent="0.2">
      <c r="C2612"/>
      <c r="M2612"/>
    </row>
    <row r="2613" spans="3:13" ht="12.75" customHeight="1" x14ac:dyDescent="0.2">
      <c r="C2613"/>
      <c r="M2613"/>
    </row>
    <row r="2614" spans="3:13" ht="12.75" customHeight="1" x14ac:dyDescent="0.2">
      <c r="C2614"/>
      <c r="M2614"/>
    </row>
    <row r="2615" spans="3:13" ht="12.75" customHeight="1" x14ac:dyDescent="0.2">
      <c r="C2615"/>
      <c r="M2615"/>
    </row>
    <row r="2616" spans="3:13" ht="12.75" customHeight="1" x14ac:dyDescent="0.2">
      <c r="C2616"/>
      <c r="M2616"/>
    </row>
    <row r="2617" spans="3:13" ht="12.75" customHeight="1" x14ac:dyDescent="0.2">
      <c r="C2617"/>
      <c r="M2617"/>
    </row>
    <row r="2618" spans="3:13" ht="12.75" customHeight="1" x14ac:dyDescent="0.2">
      <c r="C2618"/>
      <c r="M2618"/>
    </row>
    <row r="2619" spans="3:13" ht="12.75" customHeight="1" x14ac:dyDescent="0.2">
      <c r="C2619"/>
      <c r="M2619"/>
    </row>
    <row r="2620" spans="3:13" ht="12.75" customHeight="1" x14ac:dyDescent="0.2">
      <c r="C2620"/>
      <c r="M2620"/>
    </row>
    <row r="2621" spans="3:13" ht="12.75" customHeight="1" x14ac:dyDescent="0.2">
      <c r="C2621"/>
      <c r="M2621"/>
    </row>
    <row r="2622" spans="3:13" ht="12.75" customHeight="1" x14ac:dyDescent="0.2">
      <c r="C2622"/>
      <c r="M2622"/>
    </row>
    <row r="2623" spans="3:13" ht="12.75" customHeight="1" x14ac:dyDescent="0.2">
      <c r="C2623"/>
      <c r="M2623"/>
    </row>
    <row r="2624" spans="3:13" ht="12.75" customHeight="1" x14ac:dyDescent="0.2">
      <c r="C2624"/>
      <c r="M2624"/>
    </row>
    <row r="2625" spans="3:13" ht="12.75" customHeight="1" x14ac:dyDescent="0.2">
      <c r="C2625"/>
      <c r="M2625"/>
    </row>
    <row r="2626" spans="3:13" ht="12.75" customHeight="1" x14ac:dyDescent="0.2">
      <c r="C2626"/>
      <c r="M2626"/>
    </row>
    <row r="2627" spans="3:13" ht="12.75" customHeight="1" x14ac:dyDescent="0.2">
      <c r="C2627"/>
      <c r="M2627"/>
    </row>
    <row r="2628" spans="3:13" ht="12.75" customHeight="1" x14ac:dyDescent="0.2">
      <c r="C2628"/>
      <c r="M2628"/>
    </row>
    <row r="2629" spans="3:13" ht="12.75" customHeight="1" x14ac:dyDescent="0.2">
      <c r="C2629"/>
      <c r="M2629"/>
    </row>
    <row r="2630" spans="3:13" ht="12.75" customHeight="1" x14ac:dyDescent="0.2">
      <c r="C2630"/>
      <c r="M2630"/>
    </row>
    <row r="2631" spans="3:13" ht="12.75" customHeight="1" x14ac:dyDescent="0.2">
      <c r="C2631"/>
      <c r="M2631"/>
    </row>
    <row r="2632" spans="3:13" ht="12.75" customHeight="1" x14ac:dyDescent="0.2">
      <c r="C2632"/>
      <c r="M2632"/>
    </row>
    <row r="2633" spans="3:13" ht="12.75" customHeight="1" x14ac:dyDescent="0.2">
      <c r="C2633"/>
      <c r="M2633"/>
    </row>
    <row r="2634" spans="3:13" ht="12.75" customHeight="1" x14ac:dyDescent="0.2">
      <c r="C2634"/>
      <c r="M2634"/>
    </row>
    <row r="2635" spans="3:13" ht="12.75" customHeight="1" x14ac:dyDescent="0.2">
      <c r="C2635"/>
      <c r="M2635"/>
    </row>
    <row r="2636" spans="3:13" ht="12.75" customHeight="1" x14ac:dyDescent="0.2">
      <c r="C2636"/>
      <c r="M2636"/>
    </row>
    <row r="2637" spans="3:13" ht="12.75" customHeight="1" x14ac:dyDescent="0.2">
      <c r="C2637"/>
      <c r="M2637"/>
    </row>
    <row r="2638" spans="3:13" ht="12.75" customHeight="1" x14ac:dyDescent="0.2">
      <c r="C2638"/>
      <c r="M2638"/>
    </row>
    <row r="2639" spans="3:13" ht="12.75" customHeight="1" x14ac:dyDescent="0.2">
      <c r="C2639"/>
      <c r="M2639"/>
    </row>
    <row r="2640" spans="3:13" ht="12.75" customHeight="1" x14ac:dyDescent="0.2">
      <c r="C2640"/>
      <c r="M2640"/>
    </row>
    <row r="2641" spans="3:13" ht="12.75" customHeight="1" x14ac:dyDescent="0.2">
      <c r="C2641"/>
      <c r="M2641"/>
    </row>
    <row r="2642" spans="3:13" ht="12.75" customHeight="1" x14ac:dyDescent="0.2">
      <c r="C2642"/>
      <c r="M2642"/>
    </row>
    <row r="2643" spans="3:13" ht="12.75" customHeight="1" x14ac:dyDescent="0.2">
      <c r="C2643"/>
      <c r="M2643"/>
    </row>
    <row r="2644" spans="3:13" ht="12.75" customHeight="1" x14ac:dyDescent="0.2">
      <c r="C2644"/>
      <c r="M2644"/>
    </row>
    <row r="2645" spans="3:13" ht="12.75" customHeight="1" x14ac:dyDescent="0.2">
      <c r="C2645"/>
      <c r="M2645"/>
    </row>
    <row r="2646" spans="3:13" ht="12.75" customHeight="1" x14ac:dyDescent="0.2">
      <c r="C2646"/>
      <c r="M2646"/>
    </row>
    <row r="2647" spans="3:13" ht="12.75" customHeight="1" x14ac:dyDescent="0.2">
      <c r="C2647"/>
      <c r="M2647"/>
    </row>
    <row r="2648" spans="3:13" ht="12.75" customHeight="1" x14ac:dyDescent="0.2">
      <c r="C2648"/>
      <c r="M2648"/>
    </row>
    <row r="2649" spans="3:13" ht="12.75" customHeight="1" x14ac:dyDescent="0.2">
      <c r="C2649"/>
      <c r="M2649"/>
    </row>
    <row r="2650" spans="3:13" ht="12.75" customHeight="1" x14ac:dyDescent="0.2">
      <c r="C2650"/>
      <c r="M2650"/>
    </row>
    <row r="2651" spans="3:13" ht="12.75" customHeight="1" x14ac:dyDescent="0.2">
      <c r="C2651"/>
      <c r="M2651"/>
    </row>
    <row r="2652" spans="3:13" ht="12.75" customHeight="1" x14ac:dyDescent="0.2">
      <c r="C2652"/>
      <c r="M2652"/>
    </row>
    <row r="2653" spans="3:13" ht="12.75" customHeight="1" x14ac:dyDescent="0.2">
      <c r="C2653"/>
      <c r="M2653"/>
    </row>
    <row r="2654" spans="3:13" ht="12.75" customHeight="1" x14ac:dyDescent="0.2">
      <c r="C2654"/>
      <c r="M2654"/>
    </row>
    <row r="2655" spans="3:13" ht="12.75" customHeight="1" x14ac:dyDescent="0.2">
      <c r="C2655"/>
      <c r="M2655"/>
    </row>
    <row r="2656" spans="3:13" ht="12.75" customHeight="1" x14ac:dyDescent="0.2">
      <c r="C2656"/>
      <c r="M2656"/>
    </row>
    <row r="2657" spans="3:13" ht="12.75" customHeight="1" x14ac:dyDescent="0.2">
      <c r="C2657"/>
      <c r="M2657"/>
    </row>
    <row r="2658" spans="3:13" ht="12.75" customHeight="1" x14ac:dyDescent="0.2">
      <c r="C2658"/>
      <c r="M2658"/>
    </row>
    <row r="2659" spans="3:13" ht="12.75" customHeight="1" x14ac:dyDescent="0.2">
      <c r="C2659"/>
      <c r="M2659"/>
    </row>
    <row r="2660" spans="3:13" ht="12.75" customHeight="1" x14ac:dyDescent="0.2">
      <c r="C2660"/>
      <c r="M2660"/>
    </row>
    <row r="2661" spans="3:13" ht="12.75" customHeight="1" x14ac:dyDescent="0.2">
      <c r="C2661"/>
      <c r="M2661"/>
    </row>
    <row r="2662" spans="3:13" ht="12.75" customHeight="1" x14ac:dyDescent="0.2">
      <c r="C2662"/>
      <c r="M2662"/>
    </row>
    <row r="2663" spans="3:13" ht="12.75" customHeight="1" x14ac:dyDescent="0.2">
      <c r="C2663"/>
      <c r="M2663"/>
    </row>
    <row r="2664" spans="3:13" ht="12.75" customHeight="1" x14ac:dyDescent="0.2">
      <c r="C2664"/>
      <c r="M2664"/>
    </row>
    <row r="2665" spans="3:13" ht="12.75" customHeight="1" x14ac:dyDescent="0.2">
      <c r="C2665"/>
      <c r="M2665"/>
    </row>
    <row r="2666" spans="3:13" ht="12.75" customHeight="1" x14ac:dyDescent="0.2">
      <c r="C2666"/>
      <c r="M2666"/>
    </row>
    <row r="2667" spans="3:13" ht="12.75" customHeight="1" x14ac:dyDescent="0.2">
      <c r="C2667"/>
      <c r="M2667"/>
    </row>
    <row r="2668" spans="3:13" ht="12.75" customHeight="1" x14ac:dyDescent="0.2">
      <c r="C2668"/>
      <c r="M2668"/>
    </row>
    <row r="2669" spans="3:13" ht="12.75" customHeight="1" x14ac:dyDescent="0.2">
      <c r="C2669"/>
      <c r="M2669"/>
    </row>
    <row r="2670" spans="3:13" ht="12.75" customHeight="1" x14ac:dyDescent="0.2">
      <c r="C2670"/>
      <c r="M2670"/>
    </row>
    <row r="2671" spans="3:13" ht="12.75" customHeight="1" x14ac:dyDescent="0.2">
      <c r="C2671"/>
      <c r="M2671"/>
    </row>
    <row r="2672" spans="3:13" ht="12.75" customHeight="1" x14ac:dyDescent="0.2">
      <c r="C2672"/>
      <c r="M2672"/>
    </row>
    <row r="2673" spans="3:13" ht="12.75" customHeight="1" x14ac:dyDescent="0.2">
      <c r="C2673"/>
      <c r="M2673"/>
    </row>
    <row r="2674" spans="3:13" ht="12.75" customHeight="1" x14ac:dyDescent="0.2">
      <c r="C2674"/>
      <c r="M2674"/>
    </row>
    <row r="2675" spans="3:13" ht="12.75" customHeight="1" x14ac:dyDescent="0.2">
      <c r="C2675"/>
      <c r="M2675"/>
    </row>
    <row r="2676" spans="3:13" ht="12.75" customHeight="1" x14ac:dyDescent="0.2">
      <c r="C2676"/>
      <c r="M2676"/>
    </row>
    <row r="2677" spans="3:13" ht="12.75" customHeight="1" x14ac:dyDescent="0.2">
      <c r="C2677"/>
      <c r="M2677"/>
    </row>
    <row r="2678" spans="3:13" ht="12.75" customHeight="1" x14ac:dyDescent="0.2">
      <c r="C2678"/>
      <c r="M2678"/>
    </row>
    <row r="2679" spans="3:13" ht="12.75" customHeight="1" x14ac:dyDescent="0.2">
      <c r="C2679"/>
      <c r="M2679"/>
    </row>
    <row r="2680" spans="3:13" ht="12.75" customHeight="1" x14ac:dyDescent="0.2">
      <c r="C2680"/>
      <c r="M2680"/>
    </row>
    <row r="2681" spans="3:13" ht="12.75" customHeight="1" x14ac:dyDescent="0.2">
      <c r="C2681"/>
      <c r="M2681"/>
    </row>
    <row r="2682" spans="3:13" ht="12.75" customHeight="1" x14ac:dyDescent="0.2">
      <c r="C2682"/>
      <c r="M2682"/>
    </row>
    <row r="2683" spans="3:13" ht="12.75" customHeight="1" x14ac:dyDescent="0.2">
      <c r="C2683"/>
      <c r="M2683"/>
    </row>
    <row r="2684" spans="3:13" ht="12.75" customHeight="1" x14ac:dyDescent="0.2">
      <c r="C2684"/>
      <c r="M2684"/>
    </row>
    <row r="2685" spans="3:13" ht="12.75" customHeight="1" x14ac:dyDescent="0.2">
      <c r="C2685"/>
      <c r="M2685"/>
    </row>
    <row r="2686" spans="3:13" ht="12.75" customHeight="1" x14ac:dyDescent="0.2">
      <c r="C2686"/>
      <c r="M2686"/>
    </row>
    <row r="2687" spans="3:13" ht="12.75" customHeight="1" x14ac:dyDescent="0.2">
      <c r="C2687"/>
      <c r="M2687"/>
    </row>
    <row r="2688" spans="3:13" ht="12.75" customHeight="1" x14ac:dyDescent="0.2">
      <c r="C2688"/>
      <c r="M2688"/>
    </row>
    <row r="2689" spans="3:13" ht="12.75" customHeight="1" x14ac:dyDescent="0.2">
      <c r="C2689"/>
      <c r="M2689"/>
    </row>
    <row r="2690" spans="3:13" ht="12.75" customHeight="1" x14ac:dyDescent="0.2">
      <c r="C2690"/>
      <c r="M2690"/>
    </row>
    <row r="2691" spans="3:13" ht="12.75" customHeight="1" x14ac:dyDescent="0.2">
      <c r="C2691"/>
      <c r="M2691"/>
    </row>
    <row r="2692" spans="3:13" ht="12.75" customHeight="1" x14ac:dyDescent="0.2">
      <c r="C2692"/>
      <c r="M2692"/>
    </row>
    <row r="2693" spans="3:13" ht="12.75" customHeight="1" x14ac:dyDescent="0.2">
      <c r="C2693"/>
      <c r="M2693"/>
    </row>
    <row r="2694" spans="3:13" ht="12.75" customHeight="1" x14ac:dyDescent="0.2">
      <c r="C2694"/>
      <c r="M2694"/>
    </row>
    <row r="2695" spans="3:13" ht="12.75" customHeight="1" x14ac:dyDescent="0.2">
      <c r="C2695"/>
      <c r="M2695"/>
    </row>
    <row r="2696" spans="3:13" ht="12.75" customHeight="1" x14ac:dyDescent="0.2">
      <c r="C2696"/>
      <c r="M2696"/>
    </row>
    <row r="2697" spans="3:13" ht="12.75" customHeight="1" x14ac:dyDescent="0.2">
      <c r="C2697"/>
      <c r="M2697"/>
    </row>
    <row r="2698" spans="3:13" ht="12.75" customHeight="1" x14ac:dyDescent="0.2">
      <c r="C2698"/>
      <c r="M2698"/>
    </row>
    <row r="2699" spans="3:13" ht="12.75" customHeight="1" x14ac:dyDescent="0.2">
      <c r="C2699"/>
      <c r="M2699"/>
    </row>
    <row r="2700" spans="3:13" ht="12.75" customHeight="1" x14ac:dyDescent="0.2">
      <c r="C2700"/>
      <c r="M2700"/>
    </row>
    <row r="2701" spans="3:13" ht="12.75" customHeight="1" x14ac:dyDescent="0.2">
      <c r="C2701"/>
      <c r="M2701"/>
    </row>
    <row r="2702" spans="3:13" ht="12.75" customHeight="1" x14ac:dyDescent="0.2">
      <c r="C2702"/>
      <c r="M2702"/>
    </row>
    <row r="2703" spans="3:13" ht="12.75" customHeight="1" x14ac:dyDescent="0.2">
      <c r="C2703"/>
      <c r="M2703"/>
    </row>
    <row r="2704" spans="3:13" ht="12.75" customHeight="1" x14ac:dyDescent="0.2">
      <c r="C2704"/>
      <c r="M2704"/>
    </row>
    <row r="2705" spans="3:13" ht="12.75" customHeight="1" x14ac:dyDescent="0.2">
      <c r="C2705"/>
      <c r="M2705"/>
    </row>
    <row r="2706" spans="3:13" ht="12.75" customHeight="1" x14ac:dyDescent="0.2">
      <c r="C2706"/>
      <c r="M2706"/>
    </row>
    <row r="2707" spans="3:13" ht="12.75" customHeight="1" x14ac:dyDescent="0.2">
      <c r="C2707"/>
      <c r="M2707"/>
    </row>
    <row r="2708" spans="3:13" ht="12.75" customHeight="1" x14ac:dyDescent="0.2">
      <c r="C2708"/>
      <c r="M2708"/>
    </row>
    <row r="2709" spans="3:13" ht="12.75" customHeight="1" x14ac:dyDescent="0.2">
      <c r="C2709"/>
      <c r="M2709"/>
    </row>
    <row r="2710" spans="3:13" ht="12.75" customHeight="1" x14ac:dyDescent="0.2">
      <c r="C2710"/>
      <c r="M2710"/>
    </row>
    <row r="2711" spans="3:13" ht="12.75" customHeight="1" x14ac:dyDescent="0.2">
      <c r="C2711"/>
      <c r="M2711"/>
    </row>
    <row r="2712" spans="3:13" ht="12.75" customHeight="1" x14ac:dyDescent="0.2">
      <c r="C2712"/>
      <c r="M2712"/>
    </row>
    <row r="2713" spans="3:13" ht="12.75" customHeight="1" x14ac:dyDescent="0.2">
      <c r="C2713"/>
      <c r="M2713"/>
    </row>
    <row r="2714" spans="3:13" ht="12.75" customHeight="1" x14ac:dyDescent="0.2">
      <c r="C2714"/>
      <c r="M2714"/>
    </row>
    <row r="2715" spans="3:13" ht="12.75" customHeight="1" x14ac:dyDescent="0.2">
      <c r="C2715"/>
      <c r="M2715"/>
    </row>
    <row r="2716" spans="3:13" ht="12.75" customHeight="1" x14ac:dyDescent="0.2">
      <c r="C2716"/>
      <c r="M2716"/>
    </row>
    <row r="2717" spans="3:13" ht="12.75" customHeight="1" x14ac:dyDescent="0.2">
      <c r="C2717"/>
      <c r="M2717"/>
    </row>
    <row r="2718" spans="3:13" ht="12.75" customHeight="1" x14ac:dyDescent="0.2">
      <c r="C2718"/>
      <c r="M2718"/>
    </row>
    <row r="2719" spans="3:13" ht="12.75" customHeight="1" x14ac:dyDescent="0.2">
      <c r="C2719"/>
      <c r="M2719"/>
    </row>
    <row r="2720" spans="3:13" ht="12.75" customHeight="1" x14ac:dyDescent="0.2">
      <c r="C2720"/>
      <c r="M2720"/>
    </row>
    <row r="2721" spans="3:13" ht="12.75" customHeight="1" x14ac:dyDescent="0.2">
      <c r="C2721"/>
      <c r="M2721"/>
    </row>
    <row r="2722" spans="3:13" ht="12.75" customHeight="1" x14ac:dyDescent="0.2">
      <c r="C2722"/>
      <c r="M2722"/>
    </row>
    <row r="2723" spans="3:13" ht="12.75" customHeight="1" x14ac:dyDescent="0.2">
      <c r="C2723"/>
      <c r="M2723"/>
    </row>
    <row r="2724" spans="3:13" ht="12.75" customHeight="1" x14ac:dyDescent="0.2">
      <c r="C2724"/>
      <c r="M2724"/>
    </row>
    <row r="2725" spans="3:13" ht="12.75" customHeight="1" x14ac:dyDescent="0.2">
      <c r="C2725"/>
      <c r="M2725"/>
    </row>
    <row r="2726" spans="3:13" ht="12.75" customHeight="1" x14ac:dyDescent="0.2">
      <c r="C2726"/>
      <c r="M2726"/>
    </row>
    <row r="2727" spans="3:13" ht="12.75" customHeight="1" x14ac:dyDescent="0.2">
      <c r="C2727"/>
      <c r="M2727"/>
    </row>
    <row r="2728" spans="3:13" ht="12.75" customHeight="1" x14ac:dyDescent="0.2">
      <c r="C2728"/>
      <c r="M2728"/>
    </row>
    <row r="2729" spans="3:13" ht="12.75" customHeight="1" x14ac:dyDescent="0.2">
      <c r="C2729"/>
      <c r="M2729"/>
    </row>
    <row r="2730" spans="3:13" ht="12.75" customHeight="1" x14ac:dyDescent="0.2">
      <c r="C2730"/>
      <c r="M2730"/>
    </row>
    <row r="2731" spans="3:13" ht="12.75" customHeight="1" x14ac:dyDescent="0.2">
      <c r="C2731"/>
      <c r="M2731"/>
    </row>
    <row r="2732" spans="3:13" ht="12.75" customHeight="1" x14ac:dyDescent="0.2">
      <c r="C2732"/>
      <c r="M2732"/>
    </row>
    <row r="2733" spans="3:13" ht="12.75" customHeight="1" x14ac:dyDescent="0.2">
      <c r="C2733"/>
      <c r="M2733"/>
    </row>
    <row r="2734" spans="3:13" ht="12.75" customHeight="1" x14ac:dyDescent="0.2">
      <c r="C2734"/>
      <c r="M2734"/>
    </row>
    <row r="2735" spans="3:13" ht="12.75" customHeight="1" x14ac:dyDescent="0.2">
      <c r="C2735"/>
      <c r="M2735"/>
    </row>
    <row r="2736" spans="3:13" ht="12.75" customHeight="1" x14ac:dyDescent="0.2">
      <c r="C2736"/>
      <c r="M2736"/>
    </row>
    <row r="2737" spans="3:13" ht="12.75" customHeight="1" x14ac:dyDescent="0.2">
      <c r="C2737"/>
      <c r="M2737"/>
    </row>
    <row r="2738" spans="3:13" ht="12.75" customHeight="1" x14ac:dyDescent="0.2">
      <c r="C2738"/>
      <c r="M2738"/>
    </row>
    <row r="2739" spans="3:13" ht="12.75" customHeight="1" x14ac:dyDescent="0.2">
      <c r="C2739"/>
      <c r="M2739"/>
    </row>
    <row r="2740" spans="3:13" ht="12.75" customHeight="1" x14ac:dyDescent="0.2">
      <c r="C2740"/>
      <c r="M2740"/>
    </row>
    <row r="2741" spans="3:13" ht="12.75" customHeight="1" x14ac:dyDescent="0.2">
      <c r="C2741"/>
      <c r="M2741"/>
    </row>
    <row r="2742" spans="3:13" ht="12.75" customHeight="1" x14ac:dyDescent="0.2">
      <c r="C2742"/>
      <c r="M2742"/>
    </row>
    <row r="2743" spans="3:13" ht="12.75" customHeight="1" x14ac:dyDescent="0.2">
      <c r="C2743"/>
      <c r="M2743"/>
    </row>
    <row r="2744" spans="3:13" ht="12.75" customHeight="1" x14ac:dyDescent="0.2">
      <c r="C2744"/>
      <c r="M2744"/>
    </row>
    <row r="2745" spans="3:13" ht="12.75" customHeight="1" x14ac:dyDescent="0.2">
      <c r="C2745"/>
      <c r="M2745"/>
    </row>
    <row r="2746" spans="3:13" ht="12.75" customHeight="1" x14ac:dyDescent="0.2">
      <c r="C2746"/>
      <c r="M2746"/>
    </row>
    <row r="2747" spans="3:13" ht="12.75" customHeight="1" x14ac:dyDescent="0.2">
      <c r="C2747"/>
      <c r="M2747"/>
    </row>
    <row r="2748" spans="3:13" ht="12.75" customHeight="1" x14ac:dyDescent="0.2">
      <c r="C2748"/>
      <c r="M2748"/>
    </row>
    <row r="2749" spans="3:13" ht="12.75" customHeight="1" x14ac:dyDescent="0.2">
      <c r="C2749"/>
      <c r="M2749"/>
    </row>
    <row r="2750" spans="3:13" ht="12.75" customHeight="1" x14ac:dyDescent="0.2">
      <c r="C2750"/>
      <c r="M2750"/>
    </row>
    <row r="2751" spans="3:13" ht="12.75" customHeight="1" x14ac:dyDescent="0.2">
      <c r="C2751"/>
      <c r="M2751"/>
    </row>
    <row r="2752" spans="3:13" ht="12.75" customHeight="1" x14ac:dyDescent="0.2">
      <c r="C2752"/>
      <c r="M2752"/>
    </row>
    <row r="2753" spans="3:13" ht="12.75" customHeight="1" x14ac:dyDescent="0.2">
      <c r="C2753"/>
      <c r="M2753"/>
    </row>
    <row r="2754" spans="3:13" ht="12.75" customHeight="1" x14ac:dyDescent="0.2">
      <c r="C2754"/>
      <c r="M2754"/>
    </row>
    <row r="2755" spans="3:13" ht="12.75" customHeight="1" x14ac:dyDescent="0.2">
      <c r="C2755"/>
      <c r="M2755"/>
    </row>
    <row r="2756" spans="3:13" ht="12.75" customHeight="1" x14ac:dyDescent="0.2">
      <c r="C2756"/>
      <c r="M2756"/>
    </row>
    <row r="2757" spans="3:13" ht="12.75" customHeight="1" x14ac:dyDescent="0.2">
      <c r="C2757"/>
      <c r="M2757"/>
    </row>
    <row r="2758" spans="3:13" ht="12.75" customHeight="1" x14ac:dyDescent="0.2">
      <c r="C2758"/>
      <c r="M2758"/>
    </row>
    <row r="2759" spans="3:13" ht="12.75" customHeight="1" x14ac:dyDescent="0.2">
      <c r="C2759"/>
      <c r="M2759"/>
    </row>
    <row r="2760" spans="3:13" ht="12.75" customHeight="1" x14ac:dyDescent="0.2">
      <c r="C2760"/>
      <c r="M2760"/>
    </row>
    <row r="2761" spans="3:13" ht="12.75" customHeight="1" x14ac:dyDescent="0.2">
      <c r="C2761"/>
      <c r="M2761"/>
    </row>
    <row r="2762" spans="3:13" ht="12.75" customHeight="1" x14ac:dyDescent="0.2">
      <c r="C2762"/>
      <c r="M2762"/>
    </row>
    <row r="2763" spans="3:13" ht="12.75" customHeight="1" x14ac:dyDescent="0.2">
      <c r="C2763"/>
      <c r="M2763"/>
    </row>
    <row r="2764" spans="3:13" ht="12.75" customHeight="1" x14ac:dyDescent="0.2">
      <c r="C2764"/>
      <c r="M2764"/>
    </row>
    <row r="2765" spans="3:13" ht="12.75" customHeight="1" x14ac:dyDescent="0.2">
      <c r="C2765"/>
      <c r="M2765"/>
    </row>
    <row r="2766" spans="3:13" ht="12.75" customHeight="1" x14ac:dyDescent="0.2">
      <c r="C2766"/>
      <c r="M2766"/>
    </row>
    <row r="2767" spans="3:13" ht="12.75" customHeight="1" x14ac:dyDescent="0.2">
      <c r="C2767"/>
      <c r="M2767"/>
    </row>
    <row r="2768" spans="3:13" ht="12.75" customHeight="1" x14ac:dyDescent="0.2">
      <c r="C2768"/>
      <c r="M2768"/>
    </row>
    <row r="2769" spans="3:13" ht="12.75" customHeight="1" x14ac:dyDescent="0.2">
      <c r="C2769"/>
      <c r="M2769"/>
    </row>
    <row r="2770" spans="3:13" ht="12.75" customHeight="1" x14ac:dyDescent="0.2">
      <c r="C2770"/>
      <c r="M2770"/>
    </row>
    <row r="2771" spans="3:13" ht="12.75" customHeight="1" x14ac:dyDescent="0.2">
      <c r="C2771"/>
      <c r="M2771"/>
    </row>
    <row r="2772" spans="3:13" ht="12.75" customHeight="1" x14ac:dyDescent="0.2">
      <c r="C2772"/>
      <c r="M2772"/>
    </row>
    <row r="2773" spans="3:13" ht="12.75" customHeight="1" x14ac:dyDescent="0.2">
      <c r="C2773"/>
      <c r="M2773"/>
    </row>
    <row r="2774" spans="3:13" ht="12.75" customHeight="1" x14ac:dyDescent="0.2">
      <c r="C2774"/>
      <c r="M2774"/>
    </row>
    <row r="2775" spans="3:13" ht="12.75" customHeight="1" x14ac:dyDescent="0.2">
      <c r="C2775"/>
      <c r="M2775"/>
    </row>
    <row r="2776" spans="3:13" ht="12.75" customHeight="1" x14ac:dyDescent="0.2">
      <c r="C2776"/>
      <c r="M2776"/>
    </row>
    <row r="2777" spans="3:13" ht="12.75" customHeight="1" x14ac:dyDescent="0.2">
      <c r="C2777"/>
      <c r="M2777"/>
    </row>
    <row r="2778" spans="3:13" ht="12.75" customHeight="1" x14ac:dyDescent="0.2">
      <c r="C2778"/>
      <c r="M2778"/>
    </row>
    <row r="2779" spans="3:13" ht="12.75" customHeight="1" x14ac:dyDescent="0.2">
      <c r="C2779"/>
      <c r="M2779"/>
    </row>
    <row r="2780" spans="3:13" ht="12.75" customHeight="1" x14ac:dyDescent="0.2">
      <c r="C2780"/>
      <c r="M2780"/>
    </row>
    <row r="2781" spans="3:13" ht="12.75" customHeight="1" x14ac:dyDescent="0.2">
      <c r="C2781"/>
      <c r="M2781"/>
    </row>
    <row r="2782" spans="3:13" ht="12.75" customHeight="1" x14ac:dyDescent="0.2">
      <c r="C2782"/>
      <c r="M2782"/>
    </row>
    <row r="2783" spans="3:13" ht="12.75" customHeight="1" x14ac:dyDescent="0.2">
      <c r="C2783"/>
      <c r="M2783"/>
    </row>
    <row r="2784" spans="3:13" ht="12.75" customHeight="1" x14ac:dyDescent="0.2">
      <c r="C2784"/>
      <c r="M2784"/>
    </row>
    <row r="2785" spans="3:13" ht="12.75" customHeight="1" x14ac:dyDescent="0.2">
      <c r="C2785"/>
      <c r="M2785"/>
    </row>
    <row r="2786" spans="3:13" ht="12.75" customHeight="1" x14ac:dyDescent="0.2">
      <c r="C2786"/>
      <c r="M2786"/>
    </row>
    <row r="2787" spans="3:13" ht="12.75" customHeight="1" x14ac:dyDescent="0.2">
      <c r="C2787"/>
      <c r="M2787"/>
    </row>
    <row r="2788" spans="3:13" ht="12.75" customHeight="1" x14ac:dyDescent="0.2">
      <c r="C2788"/>
      <c r="M2788"/>
    </row>
    <row r="2789" spans="3:13" ht="12.75" customHeight="1" x14ac:dyDescent="0.2">
      <c r="C2789"/>
      <c r="M2789"/>
    </row>
    <row r="2790" spans="3:13" ht="12.75" customHeight="1" x14ac:dyDescent="0.2">
      <c r="C2790"/>
      <c r="M2790"/>
    </row>
    <row r="2791" spans="3:13" ht="12.75" customHeight="1" x14ac:dyDescent="0.2">
      <c r="C2791"/>
      <c r="M2791"/>
    </row>
    <row r="2792" spans="3:13" ht="12.75" customHeight="1" x14ac:dyDescent="0.2">
      <c r="C2792"/>
      <c r="M2792"/>
    </row>
    <row r="2793" spans="3:13" ht="12.75" customHeight="1" x14ac:dyDescent="0.2">
      <c r="C2793"/>
      <c r="M2793"/>
    </row>
    <row r="2794" spans="3:13" ht="12.75" customHeight="1" x14ac:dyDescent="0.2">
      <c r="C2794"/>
      <c r="M2794"/>
    </row>
    <row r="2795" spans="3:13" ht="12.75" customHeight="1" x14ac:dyDescent="0.2">
      <c r="C2795"/>
      <c r="M2795"/>
    </row>
    <row r="2796" spans="3:13" ht="12.75" customHeight="1" x14ac:dyDescent="0.2">
      <c r="C2796"/>
      <c r="M2796"/>
    </row>
    <row r="2797" spans="3:13" ht="12.75" customHeight="1" x14ac:dyDescent="0.2">
      <c r="C2797"/>
      <c r="M2797"/>
    </row>
    <row r="2798" spans="3:13" ht="12.75" customHeight="1" x14ac:dyDescent="0.2">
      <c r="C2798"/>
      <c r="M2798"/>
    </row>
    <row r="2799" spans="3:13" ht="12.75" customHeight="1" x14ac:dyDescent="0.2">
      <c r="C2799"/>
      <c r="M2799"/>
    </row>
    <row r="2800" spans="3:13" ht="12.75" customHeight="1" x14ac:dyDescent="0.2">
      <c r="C2800"/>
      <c r="M2800"/>
    </row>
    <row r="2801" spans="3:13" ht="12.75" customHeight="1" x14ac:dyDescent="0.2">
      <c r="C2801"/>
      <c r="M2801"/>
    </row>
    <row r="2802" spans="3:13" ht="12.75" customHeight="1" x14ac:dyDescent="0.2">
      <c r="C2802"/>
      <c r="M2802"/>
    </row>
    <row r="2803" spans="3:13" ht="12.75" customHeight="1" x14ac:dyDescent="0.2">
      <c r="C2803"/>
      <c r="M2803"/>
    </row>
    <row r="2804" spans="3:13" ht="12.75" customHeight="1" x14ac:dyDescent="0.2">
      <c r="C2804"/>
      <c r="M2804"/>
    </row>
    <row r="2805" spans="3:13" ht="12.75" customHeight="1" x14ac:dyDescent="0.2">
      <c r="C2805"/>
      <c r="M2805"/>
    </row>
    <row r="2806" spans="3:13" ht="12.75" customHeight="1" x14ac:dyDescent="0.2">
      <c r="C2806"/>
      <c r="M2806"/>
    </row>
    <row r="2807" spans="3:13" ht="12.75" customHeight="1" x14ac:dyDescent="0.2">
      <c r="C2807"/>
      <c r="M2807"/>
    </row>
    <row r="2808" spans="3:13" ht="12.75" customHeight="1" x14ac:dyDescent="0.2">
      <c r="C2808"/>
      <c r="M2808"/>
    </row>
    <row r="2809" spans="3:13" ht="12.75" customHeight="1" x14ac:dyDescent="0.2">
      <c r="C2809"/>
      <c r="M2809"/>
    </row>
    <row r="2810" spans="3:13" ht="12.75" customHeight="1" x14ac:dyDescent="0.2">
      <c r="C2810"/>
      <c r="M2810"/>
    </row>
    <row r="2811" spans="3:13" ht="12.75" customHeight="1" x14ac:dyDescent="0.2">
      <c r="C2811"/>
      <c r="M2811"/>
    </row>
    <row r="2812" spans="3:13" ht="12.75" customHeight="1" x14ac:dyDescent="0.2">
      <c r="C2812"/>
      <c r="M2812"/>
    </row>
    <row r="2813" spans="3:13" ht="12.75" customHeight="1" x14ac:dyDescent="0.2">
      <c r="C2813"/>
      <c r="M2813"/>
    </row>
    <row r="2814" spans="3:13" ht="12.75" customHeight="1" x14ac:dyDescent="0.2">
      <c r="C2814"/>
      <c r="M2814"/>
    </row>
    <row r="2815" spans="3:13" ht="12.75" customHeight="1" x14ac:dyDescent="0.2">
      <c r="C2815"/>
      <c r="M2815"/>
    </row>
    <row r="2816" spans="3:13" ht="12.75" customHeight="1" x14ac:dyDescent="0.2">
      <c r="C2816"/>
      <c r="M2816"/>
    </row>
    <row r="2817" spans="3:13" ht="12.75" customHeight="1" x14ac:dyDescent="0.2">
      <c r="C2817"/>
      <c r="M2817"/>
    </row>
    <row r="2818" spans="3:13" ht="12.75" customHeight="1" x14ac:dyDescent="0.2">
      <c r="C2818"/>
      <c r="M2818"/>
    </row>
    <row r="2819" spans="3:13" ht="12.75" customHeight="1" x14ac:dyDescent="0.2">
      <c r="C2819"/>
      <c r="M2819"/>
    </row>
    <row r="2820" spans="3:13" ht="12.75" customHeight="1" x14ac:dyDescent="0.2">
      <c r="C2820"/>
      <c r="M2820"/>
    </row>
    <row r="2821" spans="3:13" ht="12.75" customHeight="1" x14ac:dyDescent="0.2">
      <c r="C2821"/>
      <c r="M2821"/>
    </row>
    <row r="2822" spans="3:13" ht="12.75" customHeight="1" x14ac:dyDescent="0.2">
      <c r="C2822"/>
      <c r="M2822"/>
    </row>
    <row r="2823" spans="3:13" ht="12.75" customHeight="1" x14ac:dyDescent="0.2">
      <c r="C2823"/>
      <c r="M2823"/>
    </row>
    <row r="2824" spans="3:13" ht="12.75" customHeight="1" x14ac:dyDescent="0.2">
      <c r="C2824"/>
      <c r="M2824"/>
    </row>
    <row r="2825" spans="3:13" ht="12.75" customHeight="1" x14ac:dyDescent="0.2">
      <c r="C2825"/>
      <c r="M2825"/>
    </row>
    <row r="2826" spans="3:13" ht="12.75" customHeight="1" x14ac:dyDescent="0.2">
      <c r="C2826"/>
      <c r="M2826"/>
    </row>
    <row r="2827" spans="3:13" ht="12.75" customHeight="1" x14ac:dyDescent="0.2">
      <c r="C2827"/>
      <c r="M2827"/>
    </row>
    <row r="2828" spans="3:13" ht="12.75" customHeight="1" x14ac:dyDescent="0.2">
      <c r="C2828"/>
      <c r="M2828"/>
    </row>
    <row r="2829" spans="3:13" ht="12.75" customHeight="1" x14ac:dyDescent="0.2">
      <c r="C2829"/>
      <c r="M2829"/>
    </row>
    <row r="2830" spans="3:13" ht="12.75" customHeight="1" x14ac:dyDescent="0.2">
      <c r="C2830"/>
      <c r="M2830"/>
    </row>
    <row r="2831" spans="3:13" ht="12.75" customHeight="1" x14ac:dyDescent="0.2">
      <c r="C2831"/>
      <c r="M2831"/>
    </row>
    <row r="2832" spans="3:13" ht="12.75" customHeight="1" x14ac:dyDescent="0.2">
      <c r="C2832"/>
      <c r="M2832"/>
    </row>
    <row r="2833" spans="3:13" ht="12.75" customHeight="1" x14ac:dyDescent="0.2">
      <c r="C2833"/>
      <c r="M2833"/>
    </row>
    <row r="2834" spans="3:13" ht="12.75" customHeight="1" x14ac:dyDescent="0.2">
      <c r="C2834"/>
      <c r="M2834"/>
    </row>
    <row r="2835" spans="3:13" ht="12.75" customHeight="1" x14ac:dyDescent="0.2">
      <c r="C2835"/>
      <c r="M2835"/>
    </row>
    <row r="2836" spans="3:13" ht="12.75" customHeight="1" x14ac:dyDescent="0.2">
      <c r="C2836"/>
      <c r="M2836"/>
    </row>
    <row r="2837" spans="3:13" ht="12.75" customHeight="1" x14ac:dyDescent="0.2">
      <c r="C2837"/>
      <c r="M2837"/>
    </row>
    <row r="2838" spans="3:13" ht="12.75" customHeight="1" x14ac:dyDescent="0.2">
      <c r="C2838"/>
      <c r="M2838"/>
    </row>
    <row r="2839" spans="3:13" ht="12.75" customHeight="1" x14ac:dyDescent="0.2">
      <c r="C2839"/>
      <c r="M2839"/>
    </row>
    <row r="2840" spans="3:13" ht="12.75" customHeight="1" x14ac:dyDescent="0.2">
      <c r="C2840"/>
      <c r="M2840"/>
    </row>
    <row r="2841" spans="3:13" ht="12.75" customHeight="1" x14ac:dyDescent="0.2">
      <c r="C2841"/>
      <c r="M2841"/>
    </row>
    <row r="2842" spans="3:13" ht="12.75" customHeight="1" x14ac:dyDescent="0.2">
      <c r="C2842"/>
      <c r="M2842"/>
    </row>
    <row r="2843" spans="3:13" ht="12.75" customHeight="1" x14ac:dyDescent="0.2">
      <c r="C2843"/>
      <c r="M2843"/>
    </row>
    <row r="2844" spans="3:13" ht="12.75" customHeight="1" x14ac:dyDescent="0.2">
      <c r="C2844"/>
      <c r="M2844"/>
    </row>
    <row r="2845" spans="3:13" ht="12.75" customHeight="1" x14ac:dyDescent="0.2">
      <c r="C2845"/>
      <c r="M2845"/>
    </row>
    <row r="2846" spans="3:13" ht="12.75" customHeight="1" x14ac:dyDescent="0.2">
      <c r="C2846"/>
      <c r="M2846"/>
    </row>
    <row r="2847" spans="3:13" ht="12.75" customHeight="1" x14ac:dyDescent="0.2">
      <c r="C2847"/>
      <c r="M2847"/>
    </row>
    <row r="2848" spans="3:13" ht="12.75" customHeight="1" x14ac:dyDescent="0.2">
      <c r="C2848"/>
      <c r="M2848"/>
    </row>
    <row r="2849" spans="3:13" ht="12.75" customHeight="1" x14ac:dyDescent="0.2">
      <c r="C2849"/>
      <c r="M2849"/>
    </row>
    <row r="2850" spans="3:13" ht="12.75" customHeight="1" x14ac:dyDescent="0.2">
      <c r="C2850"/>
      <c r="M2850"/>
    </row>
    <row r="2851" spans="3:13" ht="12.75" customHeight="1" x14ac:dyDescent="0.2">
      <c r="C2851"/>
      <c r="M2851"/>
    </row>
    <row r="2852" spans="3:13" ht="12.75" customHeight="1" x14ac:dyDescent="0.2">
      <c r="C2852"/>
      <c r="M2852"/>
    </row>
    <row r="2853" spans="3:13" ht="12.75" customHeight="1" x14ac:dyDescent="0.2">
      <c r="C2853"/>
      <c r="M2853"/>
    </row>
    <row r="2854" spans="3:13" ht="12.75" customHeight="1" x14ac:dyDescent="0.2">
      <c r="C2854"/>
      <c r="M2854"/>
    </row>
    <row r="2855" spans="3:13" ht="12.75" customHeight="1" x14ac:dyDescent="0.2">
      <c r="C2855"/>
      <c r="M2855"/>
    </row>
    <row r="2856" spans="3:13" ht="12.75" customHeight="1" x14ac:dyDescent="0.2">
      <c r="C2856"/>
      <c r="M2856"/>
    </row>
    <row r="2857" spans="3:13" ht="12.75" customHeight="1" x14ac:dyDescent="0.2">
      <c r="C2857"/>
      <c r="M2857"/>
    </row>
    <row r="2858" spans="3:13" ht="12.75" customHeight="1" x14ac:dyDescent="0.2">
      <c r="C2858"/>
      <c r="M2858"/>
    </row>
    <row r="2859" spans="3:13" ht="12.75" customHeight="1" x14ac:dyDescent="0.2">
      <c r="C2859"/>
      <c r="M2859"/>
    </row>
    <row r="2860" spans="3:13" ht="12.75" customHeight="1" x14ac:dyDescent="0.2">
      <c r="C2860"/>
      <c r="M2860"/>
    </row>
    <row r="2861" spans="3:13" ht="12.75" customHeight="1" x14ac:dyDescent="0.2">
      <c r="C2861"/>
      <c r="M2861"/>
    </row>
    <row r="2862" spans="3:13" ht="12.75" customHeight="1" x14ac:dyDescent="0.2">
      <c r="C2862"/>
      <c r="M2862"/>
    </row>
    <row r="2863" spans="3:13" ht="12.75" customHeight="1" x14ac:dyDescent="0.2">
      <c r="C2863"/>
      <c r="M2863"/>
    </row>
    <row r="2864" spans="3:13" ht="12.75" customHeight="1" x14ac:dyDescent="0.2">
      <c r="C2864"/>
      <c r="M2864"/>
    </row>
    <row r="2865" spans="3:13" ht="12.75" customHeight="1" x14ac:dyDescent="0.2">
      <c r="C2865"/>
      <c r="M2865"/>
    </row>
    <row r="2866" spans="3:13" ht="12.75" customHeight="1" x14ac:dyDescent="0.2">
      <c r="C2866"/>
      <c r="M2866"/>
    </row>
    <row r="2867" spans="3:13" ht="12.75" customHeight="1" x14ac:dyDescent="0.2">
      <c r="C2867"/>
      <c r="M2867"/>
    </row>
    <row r="2868" spans="3:13" ht="12.75" customHeight="1" x14ac:dyDescent="0.2">
      <c r="C2868"/>
      <c r="M2868"/>
    </row>
    <row r="2869" spans="3:13" ht="12.75" customHeight="1" x14ac:dyDescent="0.2">
      <c r="C2869"/>
      <c r="M2869"/>
    </row>
    <row r="2870" spans="3:13" ht="12.75" customHeight="1" x14ac:dyDescent="0.2">
      <c r="C2870"/>
      <c r="M2870"/>
    </row>
    <row r="2871" spans="3:13" ht="12.75" customHeight="1" x14ac:dyDescent="0.2">
      <c r="C2871"/>
      <c r="M2871"/>
    </row>
    <row r="2872" spans="3:13" ht="12.75" customHeight="1" x14ac:dyDescent="0.2">
      <c r="C2872"/>
      <c r="M2872"/>
    </row>
    <row r="2873" spans="3:13" ht="12.75" customHeight="1" x14ac:dyDescent="0.2">
      <c r="C2873"/>
      <c r="M2873"/>
    </row>
    <row r="2874" spans="3:13" ht="12.75" customHeight="1" x14ac:dyDescent="0.2">
      <c r="C2874"/>
      <c r="M2874"/>
    </row>
    <row r="2875" spans="3:13" ht="12.75" customHeight="1" x14ac:dyDescent="0.2">
      <c r="C2875"/>
      <c r="M2875"/>
    </row>
    <row r="2876" spans="3:13" ht="12.75" customHeight="1" x14ac:dyDescent="0.2">
      <c r="C2876"/>
      <c r="M2876"/>
    </row>
    <row r="2877" spans="3:13" ht="12.75" customHeight="1" x14ac:dyDescent="0.2">
      <c r="C2877"/>
      <c r="M2877"/>
    </row>
    <row r="2878" spans="3:13" ht="12.75" customHeight="1" x14ac:dyDescent="0.2">
      <c r="C2878"/>
      <c r="M2878"/>
    </row>
    <row r="2879" spans="3:13" ht="12.75" customHeight="1" x14ac:dyDescent="0.2">
      <c r="C2879"/>
      <c r="M2879"/>
    </row>
    <row r="2880" spans="3:13" ht="12.75" customHeight="1" x14ac:dyDescent="0.2">
      <c r="C2880"/>
      <c r="M2880"/>
    </row>
    <row r="2881" spans="3:13" ht="12.75" customHeight="1" x14ac:dyDescent="0.2">
      <c r="C2881"/>
      <c r="M2881"/>
    </row>
    <row r="2882" spans="3:13" ht="12.75" customHeight="1" x14ac:dyDescent="0.2">
      <c r="C2882"/>
      <c r="M2882"/>
    </row>
    <row r="2883" spans="3:13" ht="12.75" customHeight="1" x14ac:dyDescent="0.2">
      <c r="C2883"/>
      <c r="M2883"/>
    </row>
    <row r="2884" spans="3:13" ht="12.75" customHeight="1" x14ac:dyDescent="0.2">
      <c r="C2884"/>
      <c r="M2884"/>
    </row>
    <row r="2885" spans="3:13" ht="12.75" customHeight="1" x14ac:dyDescent="0.2">
      <c r="C2885"/>
      <c r="M2885"/>
    </row>
    <row r="2886" spans="3:13" ht="12.75" customHeight="1" x14ac:dyDescent="0.2">
      <c r="C2886"/>
      <c r="M2886"/>
    </row>
    <row r="2887" spans="3:13" ht="12.75" customHeight="1" x14ac:dyDescent="0.2">
      <c r="C2887"/>
      <c r="M2887"/>
    </row>
    <row r="2888" spans="3:13" ht="12.75" customHeight="1" x14ac:dyDescent="0.2">
      <c r="C2888"/>
      <c r="M2888"/>
    </row>
    <row r="2889" spans="3:13" ht="12.75" customHeight="1" x14ac:dyDescent="0.2">
      <c r="C2889"/>
      <c r="M2889"/>
    </row>
    <row r="2890" spans="3:13" ht="12.75" customHeight="1" x14ac:dyDescent="0.2">
      <c r="C2890"/>
      <c r="M2890"/>
    </row>
    <row r="2891" spans="3:13" ht="12.75" customHeight="1" x14ac:dyDescent="0.2">
      <c r="C2891"/>
      <c r="M2891"/>
    </row>
    <row r="2892" spans="3:13" ht="12.75" customHeight="1" x14ac:dyDescent="0.2">
      <c r="C2892"/>
      <c r="M2892"/>
    </row>
    <row r="2893" spans="3:13" ht="12.75" customHeight="1" x14ac:dyDescent="0.2">
      <c r="C2893"/>
      <c r="M2893"/>
    </row>
    <row r="2894" spans="3:13" ht="12.75" customHeight="1" x14ac:dyDescent="0.2">
      <c r="C2894"/>
      <c r="M2894"/>
    </row>
    <row r="2895" spans="3:13" ht="12.75" customHeight="1" x14ac:dyDescent="0.2">
      <c r="C2895"/>
      <c r="M2895"/>
    </row>
    <row r="2896" spans="3:13" ht="12.75" customHeight="1" x14ac:dyDescent="0.2">
      <c r="C2896"/>
      <c r="M2896"/>
    </row>
    <row r="2897" spans="3:13" ht="12.75" customHeight="1" x14ac:dyDescent="0.2">
      <c r="C2897"/>
      <c r="M2897"/>
    </row>
    <row r="2898" spans="3:13" ht="12.75" customHeight="1" x14ac:dyDescent="0.2">
      <c r="C2898"/>
      <c r="M2898"/>
    </row>
    <row r="2899" spans="3:13" ht="12.75" customHeight="1" x14ac:dyDescent="0.2">
      <c r="C2899"/>
      <c r="M2899"/>
    </row>
    <row r="2900" spans="3:13" ht="12.75" customHeight="1" x14ac:dyDescent="0.2">
      <c r="C2900"/>
      <c r="M2900"/>
    </row>
    <row r="2901" spans="3:13" ht="12.75" customHeight="1" x14ac:dyDescent="0.2">
      <c r="C2901"/>
      <c r="M2901"/>
    </row>
    <row r="2902" spans="3:13" ht="12.75" customHeight="1" x14ac:dyDescent="0.2">
      <c r="C2902"/>
      <c r="M2902"/>
    </row>
    <row r="2903" spans="3:13" ht="12.75" customHeight="1" x14ac:dyDescent="0.2">
      <c r="C2903"/>
      <c r="M2903"/>
    </row>
    <row r="2904" spans="3:13" ht="12.75" customHeight="1" x14ac:dyDescent="0.2">
      <c r="C2904"/>
      <c r="M2904"/>
    </row>
    <row r="2905" spans="3:13" ht="12.75" customHeight="1" x14ac:dyDescent="0.2">
      <c r="C2905"/>
      <c r="M2905"/>
    </row>
    <row r="2906" spans="3:13" ht="12.75" customHeight="1" x14ac:dyDescent="0.2">
      <c r="C2906"/>
      <c r="M2906"/>
    </row>
    <row r="2907" spans="3:13" ht="12.75" customHeight="1" x14ac:dyDescent="0.2">
      <c r="C2907"/>
      <c r="M2907"/>
    </row>
    <row r="2908" spans="3:13" ht="12.75" customHeight="1" x14ac:dyDescent="0.2">
      <c r="C2908"/>
      <c r="M2908"/>
    </row>
    <row r="2909" spans="3:13" ht="12.75" customHeight="1" x14ac:dyDescent="0.2">
      <c r="C2909"/>
      <c r="M2909"/>
    </row>
    <row r="2910" spans="3:13" ht="12.75" customHeight="1" x14ac:dyDescent="0.2">
      <c r="C2910"/>
      <c r="M2910"/>
    </row>
    <row r="2911" spans="3:13" ht="12.75" customHeight="1" x14ac:dyDescent="0.2">
      <c r="C2911"/>
      <c r="M2911"/>
    </row>
    <row r="2912" spans="3:13" ht="12.75" customHeight="1" x14ac:dyDescent="0.2">
      <c r="C2912"/>
      <c r="M2912"/>
    </row>
    <row r="2913" spans="3:13" ht="12.75" customHeight="1" x14ac:dyDescent="0.2">
      <c r="C2913"/>
      <c r="M2913"/>
    </row>
    <row r="2914" spans="3:13" ht="12.75" customHeight="1" x14ac:dyDescent="0.2">
      <c r="C2914"/>
      <c r="M2914"/>
    </row>
    <row r="2915" spans="3:13" ht="12.75" customHeight="1" x14ac:dyDescent="0.2">
      <c r="C2915"/>
      <c r="M2915"/>
    </row>
    <row r="2916" spans="3:13" ht="12.75" customHeight="1" x14ac:dyDescent="0.2">
      <c r="C2916"/>
      <c r="M2916"/>
    </row>
    <row r="2917" spans="3:13" ht="12.75" customHeight="1" x14ac:dyDescent="0.2">
      <c r="C2917"/>
      <c r="M2917"/>
    </row>
    <row r="2918" spans="3:13" ht="12.75" customHeight="1" x14ac:dyDescent="0.2">
      <c r="C2918"/>
      <c r="M2918"/>
    </row>
    <row r="2919" spans="3:13" ht="12.75" customHeight="1" x14ac:dyDescent="0.2">
      <c r="C2919"/>
      <c r="M2919"/>
    </row>
    <row r="2920" spans="3:13" ht="12.75" customHeight="1" x14ac:dyDescent="0.2">
      <c r="C2920"/>
      <c r="M2920"/>
    </row>
    <row r="2921" spans="3:13" ht="12.75" customHeight="1" x14ac:dyDescent="0.2">
      <c r="C2921"/>
      <c r="M2921"/>
    </row>
    <row r="2922" spans="3:13" ht="12.75" customHeight="1" x14ac:dyDescent="0.2">
      <c r="C2922"/>
      <c r="M2922"/>
    </row>
    <row r="2923" spans="3:13" ht="12.75" customHeight="1" x14ac:dyDescent="0.2">
      <c r="C2923"/>
      <c r="M2923"/>
    </row>
    <row r="2924" spans="3:13" ht="12.75" customHeight="1" x14ac:dyDescent="0.2">
      <c r="C2924"/>
      <c r="M2924"/>
    </row>
    <row r="2925" spans="3:13" ht="12.75" customHeight="1" x14ac:dyDescent="0.2">
      <c r="C2925"/>
      <c r="M2925"/>
    </row>
    <row r="2926" spans="3:13" ht="12.75" customHeight="1" x14ac:dyDescent="0.2">
      <c r="C2926"/>
      <c r="M2926"/>
    </row>
    <row r="2927" spans="3:13" ht="12.75" customHeight="1" x14ac:dyDescent="0.2">
      <c r="C2927"/>
      <c r="M2927"/>
    </row>
    <row r="2928" spans="3:13" ht="12.75" customHeight="1" x14ac:dyDescent="0.2">
      <c r="C2928"/>
      <c r="M2928"/>
    </row>
    <row r="2929" spans="3:13" ht="12.75" customHeight="1" x14ac:dyDescent="0.2">
      <c r="C2929"/>
      <c r="M2929"/>
    </row>
    <row r="2930" spans="3:13" ht="12.75" customHeight="1" x14ac:dyDescent="0.2">
      <c r="C2930"/>
      <c r="M2930"/>
    </row>
    <row r="2931" spans="3:13" ht="12.75" customHeight="1" x14ac:dyDescent="0.2">
      <c r="C2931"/>
      <c r="M2931"/>
    </row>
    <row r="2932" spans="3:13" ht="12.75" customHeight="1" x14ac:dyDescent="0.2">
      <c r="C2932"/>
      <c r="M2932"/>
    </row>
    <row r="2933" spans="3:13" ht="12.75" customHeight="1" x14ac:dyDescent="0.2">
      <c r="C2933"/>
      <c r="M2933"/>
    </row>
    <row r="2934" spans="3:13" ht="12.75" customHeight="1" x14ac:dyDescent="0.2">
      <c r="C2934"/>
      <c r="M2934"/>
    </row>
    <row r="2935" spans="3:13" ht="12.75" customHeight="1" x14ac:dyDescent="0.2">
      <c r="C2935"/>
      <c r="M2935"/>
    </row>
    <row r="2936" spans="3:13" ht="12.75" customHeight="1" x14ac:dyDescent="0.2">
      <c r="C2936"/>
      <c r="M2936"/>
    </row>
    <row r="2937" spans="3:13" ht="12.75" customHeight="1" x14ac:dyDescent="0.2">
      <c r="C2937"/>
      <c r="M2937"/>
    </row>
    <row r="2938" spans="3:13" ht="12.75" customHeight="1" x14ac:dyDescent="0.2">
      <c r="C2938"/>
      <c r="M2938"/>
    </row>
    <row r="2939" spans="3:13" ht="12.75" customHeight="1" x14ac:dyDescent="0.2">
      <c r="C2939"/>
      <c r="M2939"/>
    </row>
    <row r="2940" spans="3:13" ht="12.75" customHeight="1" x14ac:dyDescent="0.2">
      <c r="C2940"/>
      <c r="M2940"/>
    </row>
    <row r="2941" spans="3:13" ht="12.75" customHeight="1" x14ac:dyDescent="0.2">
      <c r="C2941"/>
      <c r="M2941"/>
    </row>
    <row r="2942" spans="3:13" ht="12.75" customHeight="1" x14ac:dyDescent="0.2">
      <c r="C2942"/>
      <c r="M2942"/>
    </row>
    <row r="2943" spans="3:13" ht="12.75" customHeight="1" x14ac:dyDescent="0.2">
      <c r="C2943"/>
      <c r="M2943"/>
    </row>
    <row r="2944" spans="3:13" ht="12.75" customHeight="1" x14ac:dyDescent="0.2">
      <c r="C2944"/>
      <c r="M2944"/>
    </row>
    <row r="2945" spans="3:13" ht="12.75" customHeight="1" x14ac:dyDescent="0.2">
      <c r="C2945"/>
      <c r="M2945"/>
    </row>
    <row r="2946" spans="3:13" ht="12.75" customHeight="1" x14ac:dyDescent="0.2">
      <c r="C2946"/>
      <c r="M2946"/>
    </row>
    <row r="2947" spans="3:13" ht="12.75" customHeight="1" x14ac:dyDescent="0.2">
      <c r="C2947"/>
      <c r="M2947"/>
    </row>
    <row r="2948" spans="3:13" ht="12.75" customHeight="1" x14ac:dyDescent="0.2">
      <c r="C2948"/>
      <c r="M2948"/>
    </row>
    <row r="2949" spans="3:13" ht="12.75" customHeight="1" x14ac:dyDescent="0.2">
      <c r="C2949"/>
      <c r="M2949"/>
    </row>
    <row r="2950" spans="3:13" ht="12.75" customHeight="1" x14ac:dyDescent="0.2">
      <c r="C2950"/>
      <c r="M2950"/>
    </row>
    <row r="2951" spans="3:13" ht="12.75" customHeight="1" x14ac:dyDescent="0.2">
      <c r="C2951"/>
      <c r="M2951"/>
    </row>
    <row r="2952" spans="3:13" ht="12.75" customHeight="1" x14ac:dyDescent="0.2">
      <c r="C2952"/>
      <c r="M2952"/>
    </row>
    <row r="2953" spans="3:13" ht="12.75" customHeight="1" x14ac:dyDescent="0.2">
      <c r="C2953"/>
      <c r="M2953"/>
    </row>
    <row r="2954" spans="3:13" ht="12.75" customHeight="1" x14ac:dyDescent="0.2">
      <c r="C2954"/>
      <c r="M2954"/>
    </row>
    <row r="2955" spans="3:13" ht="12.75" customHeight="1" x14ac:dyDescent="0.2">
      <c r="C2955"/>
      <c r="M2955"/>
    </row>
    <row r="2956" spans="3:13" ht="12.75" customHeight="1" x14ac:dyDescent="0.2">
      <c r="C2956"/>
      <c r="M2956"/>
    </row>
    <row r="2957" spans="3:13" ht="12.75" customHeight="1" x14ac:dyDescent="0.2">
      <c r="C2957"/>
      <c r="M2957"/>
    </row>
    <row r="2958" spans="3:13" ht="12.75" customHeight="1" x14ac:dyDescent="0.2">
      <c r="C2958"/>
      <c r="M2958"/>
    </row>
    <row r="2959" spans="3:13" ht="12.75" customHeight="1" x14ac:dyDescent="0.2">
      <c r="C2959"/>
      <c r="M2959"/>
    </row>
    <row r="2960" spans="3:13" ht="12.75" customHeight="1" x14ac:dyDescent="0.2">
      <c r="C2960"/>
      <c r="M2960"/>
    </row>
    <row r="2961" spans="3:13" ht="12.75" customHeight="1" x14ac:dyDescent="0.2">
      <c r="C2961"/>
      <c r="M2961"/>
    </row>
    <row r="2962" spans="3:13" ht="12.75" customHeight="1" x14ac:dyDescent="0.2">
      <c r="C2962"/>
      <c r="M2962"/>
    </row>
    <row r="2963" spans="3:13" ht="12.75" customHeight="1" x14ac:dyDescent="0.2">
      <c r="C2963"/>
      <c r="M2963"/>
    </row>
    <row r="2964" spans="3:13" ht="12.75" customHeight="1" x14ac:dyDescent="0.2">
      <c r="C2964"/>
      <c r="M2964"/>
    </row>
    <row r="2965" spans="3:13" ht="12.75" customHeight="1" x14ac:dyDescent="0.2">
      <c r="C2965"/>
      <c r="M2965"/>
    </row>
    <row r="2966" spans="3:13" ht="12.75" customHeight="1" x14ac:dyDescent="0.2">
      <c r="C2966"/>
      <c r="M2966"/>
    </row>
    <row r="2967" spans="3:13" ht="12.75" customHeight="1" x14ac:dyDescent="0.2">
      <c r="C2967"/>
      <c r="M2967"/>
    </row>
    <row r="2968" spans="3:13" ht="12.75" customHeight="1" x14ac:dyDescent="0.2">
      <c r="C2968"/>
      <c r="M2968"/>
    </row>
    <row r="2969" spans="3:13" ht="12.75" customHeight="1" x14ac:dyDescent="0.2">
      <c r="C2969"/>
      <c r="M2969"/>
    </row>
    <row r="2970" spans="3:13" ht="12.75" customHeight="1" x14ac:dyDescent="0.2">
      <c r="C2970"/>
      <c r="M2970"/>
    </row>
    <row r="2971" spans="3:13" ht="12.75" customHeight="1" x14ac:dyDescent="0.2">
      <c r="C2971"/>
      <c r="M2971"/>
    </row>
    <row r="2972" spans="3:13" ht="12.75" customHeight="1" x14ac:dyDescent="0.2">
      <c r="C2972"/>
      <c r="M2972"/>
    </row>
    <row r="2973" spans="3:13" ht="12.75" customHeight="1" x14ac:dyDescent="0.2">
      <c r="C2973"/>
      <c r="M2973"/>
    </row>
    <row r="2974" spans="3:13" ht="12.75" customHeight="1" x14ac:dyDescent="0.2">
      <c r="C2974"/>
      <c r="M2974"/>
    </row>
    <row r="2975" spans="3:13" ht="12.75" customHeight="1" x14ac:dyDescent="0.2">
      <c r="C2975"/>
      <c r="M2975"/>
    </row>
    <row r="2976" spans="3:13" ht="12.75" customHeight="1" x14ac:dyDescent="0.2">
      <c r="C2976"/>
      <c r="M2976"/>
    </row>
    <row r="2977" spans="3:13" ht="12.75" customHeight="1" x14ac:dyDescent="0.2">
      <c r="C2977"/>
      <c r="M2977"/>
    </row>
    <row r="2978" spans="3:13" ht="12.75" customHeight="1" x14ac:dyDescent="0.2">
      <c r="C2978"/>
      <c r="M2978"/>
    </row>
    <row r="2979" spans="3:13" ht="12.75" customHeight="1" x14ac:dyDescent="0.2">
      <c r="C2979"/>
      <c r="M2979"/>
    </row>
    <row r="2980" spans="3:13" ht="12.75" customHeight="1" x14ac:dyDescent="0.2">
      <c r="C2980"/>
      <c r="M2980"/>
    </row>
    <row r="2981" spans="3:13" ht="12.75" customHeight="1" x14ac:dyDescent="0.2">
      <c r="C2981"/>
      <c r="M2981"/>
    </row>
    <row r="2982" spans="3:13" ht="12.75" customHeight="1" x14ac:dyDescent="0.2">
      <c r="C2982"/>
      <c r="M2982"/>
    </row>
    <row r="2983" spans="3:13" ht="12.75" customHeight="1" x14ac:dyDescent="0.2">
      <c r="C2983"/>
      <c r="M2983"/>
    </row>
    <row r="2984" spans="3:13" ht="12.75" customHeight="1" x14ac:dyDescent="0.2">
      <c r="C2984"/>
      <c r="M2984"/>
    </row>
    <row r="2985" spans="3:13" ht="12.75" customHeight="1" x14ac:dyDescent="0.2">
      <c r="C2985"/>
      <c r="M2985"/>
    </row>
    <row r="2986" spans="3:13" ht="12.75" customHeight="1" x14ac:dyDescent="0.2">
      <c r="C2986"/>
      <c r="M2986"/>
    </row>
    <row r="2987" spans="3:13" ht="12.75" customHeight="1" x14ac:dyDescent="0.2">
      <c r="C2987"/>
      <c r="M2987"/>
    </row>
    <row r="2988" spans="3:13" ht="12.75" customHeight="1" x14ac:dyDescent="0.2">
      <c r="C2988"/>
      <c r="M2988"/>
    </row>
    <row r="2989" spans="3:13" ht="12.75" customHeight="1" x14ac:dyDescent="0.2">
      <c r="C2989"/>
      <c r="M2989"/>
    </row>
    <row r="2990" spans="3:13" ht="12.75" customHeight="1" x14ac:dyDescent="0.2">
      <c r="C2990"/>
      <c r="M2990"/>
    </row>
    <row r="2991" spans="3:13" ht="12.75" customHeight="1" x14ac:dyDescent="0.2">
      <c r="C2991"/>
      <c r="M2991"/>
    </row>
    <row r="2992" spans="3:13" ht="12.75" customHeight="1" x14ac:dyDescent="0.2">
      <c r="C2992"/>
      <c r="M2992"/>
    </row>
    <row r="2993" spans="3:13" ht="12.75" customHeight="1" x14ac:dyDescent="0.2">
      <c r="C2993"/>
      <c r="M2993"/>
    </row>
    <row r="2994" spans="3:13" ht="12.75" customHeight="1" x14ac:dyDescent="0.2">
      <c r="C2994"/>
      <c r="M2994"/>
    </row>
    <row r="2995" spans="3:13" ht="12.75" customHeight="1" x14ac:dyDescent="0.2">
      <c r="C2995"/>
      <c r="M2995"/>
    </row>
    <row r="2996" spans="3:13" ht="12.75" customHeight="1" x14ac:dyDescent="0.2">
      <c r="C2996"/>
      <c r="M2996"/>
    </row>
    <row r="2997" spans="3:13" ht="12.75" customHeight="1" x14ac:dyDescent="0.2">
      <c r="C2997"/>
      <c r="M2997"/>
    </row>
    <row r="2998" spans="3:13" ht="12.75" customHeight="1" x14ac:dyDescent="0.2">
      <c r="C2998"/>
      <c r="M2998"/>
    </row>
    <row r="2999" spans="3:13" ht="12.75" customHeight="1" x14ac:dyDescent="0.2">
      <c r="C2999"/>
      <c r="M2999"/>
    </row>
    <row r="3000" spans="3:13" ht="12.75" customHeight="1" x14ac:dyDescent="0.2">
      <c r="C3000"/>
      <c r="M3000"/>
    </row>
    <row r="3001" spans="3:13" ht="12.75" customHeight="1" x14ac:dyDescent="0.2">
      <c r="C3001"/>
      <c r="M3001"/>
    </row>
    <row r="3002" spans="3:13" ht="12.75" customHeight="1" x14ac:dyDescent="0.2">
      <c r="C3002"/>
      <c r="M3002"/>
    </row>
    <row r="3003" spans="3:13" ht="12.75" customHeight="1" x14ac:dyDescent="0.2">
      <c r="C3003"/>
      <c r="M3003"/>
    </row>
    <row r="3004" spans="3:13" ht="12.75" customHeight="1" x14ac:dyDescent="0.2">
      <c r="C3004"/>
      <c r="M3004"/>
    </row>
    <row r="3005" spans="3:13" ht="12.75" customHeight="1" x14ac:dyDescent="0.2">
      <c r="C3005"/>
      <c r="M3005"/>
    </row>
    <row r="3006" spans="3:13" ht="12.75" customHeight="1" x14ac:dyDescent="0.2">
      <c r="C3006"/>
      <c r="M3006"/>
    </row>
    <row r="3007" spans="3:13" ht="12.75" customHeight="1" x14ac:dyDescent="0.2">
      <c r="C3007"/>
      <c r="M3007"/>
    </row>
    <row r="3008" spans="3:13" ht="12.75" customHeight="1" x14ac:dyDescent="0.2">
      <c r="C3008"/>
      <c r="M3008"/>
    </row>
    <row r="3009" spans="3:13" ht="12.75" customHeight="1" x14ac:dyDescent="0.2">
      <c r="C3009"/>
      <c r="M3009"/>
    </row>
    <row r="3010" spans="3:13" ht="12.75" customHeight="1" x14ac:dyDescent="0.2">
      <c r="C3010"/>
      <c r="M3010"/>
    </row>
    <row r="3011" spans="3:13" ht="12.75" customHeight="1" x14ac:dyDescent="0.2">
      <c r="C3011"/>
      <c r="M3011"/>
    </row>
    <row r="3012" spans="3:13" ht="12.75" customHeight="1" x14ac:dyDescent="0.2">
      <c r="C3012"/>
      <c r="M3012"/>
    </row>
    <row r="3013" spans="3:13" ht="12.75" customHeight="1" x14ac:dyDescent="0.2">
      <c r="C3013"/>
      <c r="M3013"/>
    </row>
    <row r="3014" spans="3:13" ht="12.75" customHeight="1" x14ac:dyDescent="0.2">
      <c r="C3014"/>
      <c r="M3014"/>
    </row>
    <row r="3015" spans="3:13" ht="12.75" customHeight="1" x14ac:dyDescent="0.2">
      <c r="C3015"/>
      <c r="M3015"/>
    </row>
    <row r="3016" spans="3:13" ht="12.75" customHeight="1" x14ac:dyDescent="0.2">
      <c r="C3016"/>
      <c r="M3016"/>
    </row>
    <row r="3017" spans="3:13" ht="12.75" customHeight="1" x14ac:dyDescent="0.2">
      <c r="C3017"/>
      <c r="M3017"/>
    </row>
    <row r="3018" spans="3:13" ht="12.75" customHeight="1" x14ac:dyDescent="0.2">
      <c r="C3018"/>
      <c r="M3018"/>
    </row>
    <row r="3019" spans="3:13" ht="12.75" customHeight="1" x14ac:dyDescent="0.2">
      <c r="C3019"/>
      <c r="M3019"/>
    </row>
    <row r="3020" spans="3:13" ht="12.75" customHeight="1" x14ac:dyDescent="0.2">
      <c r="C3020"/>
      <c r="M3020"/>
    </row>
    <row r="3021" spans="3:13" ht="12.75" customHeight="1" x14ac:dyDescent="0.2">
      <c r="C3021"/>
      <c r="M3021"/>
    </row>
    <row r="3022" spans="3:13" ht="12.75" customHeight="1" x14ac:dyDescent="0.2">
      <c r="C3022"/>
      <c r="M3022"/>
    </row>
    <row r="3023" spans="3:13" ht="12.75" customHeight="1" x14ac:dyDescent="0.2">
      <c r="C3023"/>
      <c r="M3023"/>
    </row>
    <row r="3024" spans="3:13" ht="12.75" customHeight="1" x14ac:dyDescent="0.2">
      <c r="C3024"/>
      <c r="M3024"/>
    </row>
    <row r="3025" spans="3:13" ht="12.75" customHeight="1" x14ac:dyDescent="0.2">
      <c r="C3025"/>
      <c r="M3025"/>
    </row>
    <row r="3026" spans="3:13" ht="12.75" customHeight="1" x14ac:dyDescent="0.2">
      <c r="C3026"/>
      <c r="M3026"/>
    </row>
    <row r="3027" spans="3:13" ht="12.75" customHeight="1" x14ac:dyDescent="0.2">
      <c r="C3027"/>
      <c r="M3027"/>
    </row>
    <row r="3028" spans="3:13" ht="12.75" customHeight="1" x14ac:dyDescent="0.2">
      <c r="C3028"/>
      <c r="M3028"/>
    </row>
    <row r="3029" spans="3:13" ht="12.75" customHeight="1" x14ac:dyDescent="0.2">
      <c r="C3029"/>
      <c r="M3029"/>
    </row>
    <row r="3030" spans="3:13" ht="12.75" customHeight="1" x14ac:dyDescent="0.2">
      <c r="C3030"/>
      <c r="M3030"/>
    </row>
    <row r="3031" spans="3:13" ht="12.75" customHeight="1" x14ac:dyDescent="0.2">
      <c r="C3031"/>
      <c r="M3031"/>
    </row>
    <row r="3032" spans="3:13" ht="12.75" customHeight="1" x14ac:dyDescent="0.2">
      <c r="C3032"/>
      <c r="M3032"/>
    </row>
    <row r="3033" spans="3:13" ht="12.75" customHeight="1" x14ac:dyDescent="0.2">
      <c r="C3033"/>
      <c r="M3033"/>
    </row>
    <row r="3034" spans="3:13" ht="12.75" customHeight="1" x14ac:dyDescent="0.2">
      <c r="C3034"/>
      <c r="M3034"/>
    </row>
    <row r="3035" spans="3:13" ht="12.75" customHeight="1" x14ac:dyDescent="0.2">
      <c r="C3035"/>
      <c r="M3035"/>
    </row>
    <row r="3036" spans="3:13" ht="12.75" customHeight="1" x14ac:dyDescent="0.2">
      <c r="C3036"/>
      <c r="M3036"/>
    </row>
    <row r="3037" spans="3:13" ht="12.75" customHeight="1" x14ac:dyDescent="0.2">
      <c r="C3037"/>
      <c r="M3037"/>
    </row>
    <row r="3038" spans="3:13" ht="12.75" customHeight="1" x14ac:dyDescent="0.2">
      <c r="C3038"/>
      <c r="M3038"/>
    </row>
    <row r="3039" spans="3:13" ht="12.75" customHeight="1" x14ac:dyDescent="0.2">
      <c r="C3039"/>
      <c r="M3039"/>
    </row>
    <row r="3040" spans="3:13" ht="12.75" customHeight="1" x14ac:dyDescent="0.2">
      <c r="C3040"/>
      <c r="M3040"/>
    </row>
    <row r="3041" spans="3:13" ht="12.75" customHeight="1" x14ac:dyDescent="0.2">
      <c r="C3041"/>
      <c r="M3041"/>
    </row>
    <row r="3042" spans="3:13" ht="12.75" customHeight="1" x14ac:dyDescent="0.2">
      <c r="C3042"/>
      <c r="M3042"/>
    </row>
    <row r="3043" spans="3:13" ht="12.75" customHeight="1" x14ac:dyDescent="0.2">
      <c r="C3043"/>
      <c r="M3043"/>
    </row>
    <row r="3044" spans="3:13" ht="12.75" customHeight="1" x14ac:dyDescent="0.2">
      <c r="C3044"/>
      <c r="M3044"/>
    </row>
    <row r="3045" spans="3:13" ht="12.75" customHeight="1" x14ac:dyDescent="0.2">
      <c r="C3045"/>
      <c r="M3045"/>
    </row>
    <row r="3046" spans="3:13" ht="12.75" customHeight="1" x14ac:dyDescent="0.2">
      <c r="C3046"/>
      <c r="M3046"/>
    </row>
    <row r="3047" spans="3:13" ht="12.75" customHeight="1" x14ac:dyDescent="0.2">
      <c r="C3047"/>
      <c r="M3047"/>
    </row>
    <row r="3048" spans="3:13" ht="12.75" customHeight="1" x14ac:dyDescent="0.2">
      <c r="C3048"/>
      <c r="M3048"/>
    </row>
    <row r="3049" spans="3:13" ht="12.75" customHeight="1" x14ac:dyDescent="0.2">
      <c r="C3049"/>
      <c r="M3049"/>
    </row>
    <row r="3050" spans="3:13" ht="12.75" customHeight="1" x14ac:dyDescent="0.2">
      <c r="C3050"/>
      <c r="M3050"/>
    </row>
    <row r="3051" spans="3:13" ht="12.75" customHeight="1" x14ac:dyDescent="0.2">
      <c r="C3051"/>
      <c r="M3051"/>
    </row>
    <row r="3052" spans="3:13" ht="12.75" customHeight="1" x14ac:dyDescent="0.2">
      <c r="C3052"/>
      <c r="M3052"/>
    </row>
    <row r="3053" spans="3:13" ht="12.75" customHeight="1" x14ac:dyDescent="0.2">
      <c r="C3053"/>
      <c r="M3053"/>
    </row>
    <row r="3054" spans="3:13" ht="12.75" customHeight="1" x14ac:dyDescent="0.2">
      <c r="C3054"/>
      <c r="M3054"/>
    </row>
    <row r="3055" spans="3:13" ht="12.75" customHeight="1" x14ac:dyDescent="0.2">
      <c r="C3055"/>
      <c r="M3055"/>
    </row>
    <row r="3056" spans="3:13" ht="12.75" customHeight="1" x14ac:dyDescent="0.2">
      <c r="C3056"/>
      <c r="M3056"/>
    </row>
    <row r="3057" spans="3:13" ht="12.75" customHeight="1" x14ac:dyDescent="0.2">
      <c r="C3057"/>
      <c r="M3057"/>
    </row>
    <row r="3058" spans="3:13" ht="12.75" customHeight="1" x14ac:dyDescent="0.2">
      <c r="C3058"/>
      <c r="M3058"/>
    </row>
    <row r="3059" spans="3:13" ht="12.75" customHeight="1" x14ac:dyDescent="0.2">
      <c r="C3059"/>
      <c r="M3059"/>
    </row>
    <row r="3060" spans="3:13" ht="12.75" customHeight="1" x14ac:dyDescent="0.2">
      <c r="C3060"/>
      <c r="M3060"/>
    </row>
    <row r="3061" spans="3:13" ht="12.75" customHeight="1" x14ac:dyDescent="0.2">
      <c r="C3061"/>
      <c r="M3061"/>
    </row>
    <row r="3062" spans="3:13" ht="12.75" customHeight="1" x14ac:dyDescent="0.2">
      <c r="C3062"/>
      <c r="M3062"/>
    </row>
    <row r="3063" spans="3:13" ht="12.75" customHeight="1" x14ac:dyDescent="0.2">
      <c r="C3063"/>
      <c r="M3063"/>
    </row>
    <row r="3064" spans="3:13" ht="12.75" customHeight="1" x14ac:dyDescent="0.2">
      <c r="C3064"/>
      <c r="M3064"/>
    </row>
    <row r="3065" spans="3:13" ht="12.75" customHeight="1" x14ac:dyDescent="0.2">
      <c r="C3065"/>
      <c r="M3065"/>
    </row>
    <row r="3066" spans="3:13" ht="12.75" customHeight="1" x14ac:dyDescent="0.2">
      <c r="C3066"/>
      <c r="M3066"/>
    </row>
    <row r="3067" spans="3:13" ht="12.75" customHeight="1" x14ac:dyDescent="0.2">
      <c r="C3067"/>
      <c r="M3067"/>
    </row>
    <row r="3068" spans="3:13" ht="12.75" customHeight="1" x14ac:dyDescent="0.2">
      <c r="C3068"/>
      <c r="M3068"/>
    </row>
    <row r="3069" spans="3:13" ht="12.75" customHeight="1" x14ac:dyDescent="0.2">
      <c r="C3069"/>
      <c r="M3069"/>
    </row>
    <row r="3070" spans="3:13" ht="12.75" customHeight="1" x14ac:dyDescent="0.2">
      <c r="C3070"/>
      <c r="M3070"/>
    </row>
    <row r="3071" spans="3:13" ht="12.75" customHeight="1" x14ac:dyDescent="0.2">
      <c r="C3071"/>
      <c r="M3071"/>
    </row>
    <row r="3072" spans="3:13" ht="12.75" customHeight="1" x14ac:dyDescent="0.2">
      <c r="C3072"/>
      <c r="M3072"/>
    </row>
    <row r="3073" spans="3:13" ht="12.75" customHeight="1" x14ac:dyDescent="0.2">
      <c r="C3073"/>
      <c r="M3073"/>
    </row>
    <row r="3074" spans="3:13" ht="12.75" customHeight="1" x14ac:dyDescent="0.2">
      <c r="C3074"/>
      <c r="M3074"/>
    </row>
    <row r="3075" spans="3:13" ht="12.75" customHeight="1" x14ac:dyDescent="0.2">
      <c r="C3075"/>
      <c r="M3075"/>
    </row>
    <row r="3076" spans="3:13" ht="12.75" customHeight="1" x14ac:dyDescent="0.2">
      <c r="C3076"/>
      <c r="M3076"/>
    </row>
    <row r="3077" spans="3:13" ht="12.75" customHeight="1" x14ac:dyDescent="0.2">
      <c r="C3077"/>
      <c r="M3077"/>
    </row>
    <row r="3078" spans="3:13" ht="12.75" customHeight="1" x14ac:dyDescent="0.2">
      <c r="C3078"/>
      <c r="M3078"/>
    </row>
    <row r="3079" spans="3:13" ht="12.75" customHeight="1" x14ac:dyDescent="0.2">
      <c r="C3079"/>
      <c r="M3079"/>
    </row>
    <row r="3080" spans="3:13" ht="12.75" customHeight="1" x14ac:dyDescent="0.2">
      <c r="C3080"/>
      <c r="M3080"/>
    </row>
    <row r="3081" spans="3:13" ht="12.75" customHeight="1" x14ac:dyDescent="0.2">
      <c r="C3081"/>
      <c r="M3081"/>
    </row>
    <row r="3082" spans="3:13" ht="12.75" customHeight="1" x14ac:dyDescent="0.2">
      <c r="C3082"/>
      <c r="M3082"/>
    </row>
    <row r="3083" spans="3:13" ht="12.75" customHeight="1" x14ac:dyDescent="0.2">
      <c r="C3083"/>
      <c r="M3083"/>
    </row>
    <row r="3084" spans="3:13" ht="12.75" customHeight="1" x14ac:dyDescent="0.2">
      <c r="C3084"/>
      <c r="M3084"/>
    </row>
    <row r="3085" spans="3:13" ht="12.75" customHeight="1" x14ac:dyDescent="0.2">
      <c r="C3085"/>
      <c r="M3085"/>
    </row>
    <row r="3086" spans="3:13" ht="12.75" customHeight="1" x14ac:dyDescent="0.2">
      <c r="C3086"/>
      <c r="M3086"/>
    </row>
    <row r="3087" spans="3:13" ht="12.75" customHeight="1" x14ac:dyDescent="0.2">
      <c r="C3087"/>
      <c r="M3087"/>
    </row>
    <row r="3088" spans="3:13" ht="12.75" customHeight="1" x14ac:dyDescent="0.2">
      <c r="C3088"/>
      <c r="M3088"/>
    </row>
    <row r="3089" spans="3:13" ht="12.75" customHeight="1" x14ac:dyDescent="0.2">
      <c r="C3089"/>
      <c r="M3089"/>
    </row>
    <row r="3090" spans="3:13" ht="12.75" customHeight="1" x14ac:dyDescent="0.2">
      <c r="C3090"/>
      <c r="M3090"/>
    </row>
    <row r="3091" spans="3:13" ht="12.75" customHeight="1" x14ac:dyDescent="0.2">
      <c r="C3091"/>
      <c r="M3091"/>
    </row>
    <row r="3092" spans="3:13" ht="12.75" customHeight="1" x14ac:dyDescent="0.2">
      <c r="C3092"/>
      <c r="M3092"/>
    </row>
    <row r="3093" spans="3:13" ht="12.75" customHeight="1" x14ac:dyDescent="0.2">
      <c r="C3093"/>
      <c r="M3093"/>
    </row>
    <row r="3094" spans="3:13" ht="12.75" customHeight="1" x14ac:dyDescent="0.2">
      <c r="C3094"/>
      <c r="M3094"/>
    </row>
    <row r="3095" spans="3:13" ht="12.75" customHeight="1" x14ac:dyDescent="0.2">
      <c r="C3095"/>
      <c r="M3095"/>
    </row>
    <row r="3096" spans="3:13" ht="12.75" customHeight="1" x14ac:dyDescent="0.2">
      <c r="C3096"/>
      <c r="M3096"/>
    </row>
    <row r="3097" spans="3:13" ht="12.75" customHeight="1" x14ac:dyDescent="0.2">
      <c r="C3097"/>
      <c r="M3097"/>
    </row>
    <row r="3098" spans="3:13" ht="12.75" customHeight="1" x14ac:dyDescent="0.2">
      <c r="C3098"/>
      <c r="M3098"/>
    </row>
    <row r="3099" spans="3:13" ht="12.75" customHeight="1" x14ac:dyDescent="0.2">
      <c r="C3099"/>
      <c r="M3099"/>
    </row>
    <row r="3100" spans="3:13" ht="12.75" customHeight="1" x14ac:dyDescent="0.2">
      <c r="C3100"/>
      <c r="M3100"/>
    </row>
    <row r="3101" spans="3:13" ht="12.75" customHeight="1" x14ac:dyDescent="0.2">
      <c r="C3101"/>
      <c r="M3101"/>
    </row>
    <row r="3102" spans="3:13" ht="12.75" customHeight="1" x14ac:dyDescent="0.2">
      <c r="C3102"/>
      <c r="M3102"/>
    </row>
    <row r="3103" spans="3:13" ht="12.75" customHeight="1" x14ac:dyDescent="0.2">
      <c r="C3103"/>
      <c r="M3103"/>
    </row>
    <row r="3104" spans="3:13" ht="12.75" customHeight="1" x14ac:dyDescent="0.2">
      <c r="C3104"/>
      <c r="M3104"/>
    </row>
    <row r="3105" spans="3:13" ht="12.75" customHeight="1" x14ac:dyDescent="0.2">
      <c r="C3105"/>
      <c r="M3105"/>
    </row>
    <row r="3106" spans="3:13" ht="12.75" customHeight="1" x14ac:dyDescent="0.2">
      <c r="C3106"/>
      <c r="M3106"/>
    </row>
    <row r="3107" spans="3:13" ht="12.75" customHeight="1" x14ac:dyDescent="0.2">
      <c r="C3107"/>
      <c r="M3107"/>
    </row>
    <row r="3108" spans="3:13" ht="12.75" customHeight="1" x14ac:dyDescent="0.2">
      <c r="C3108"/>
      <c r="M3108"/>
    </row>
    <row r="3109" spans="3:13" ht="12.75" customHeight="1" x14ac:dyDescent="0.2">
      <c r="C3109"/>
      <c r="M3109"/>
    </row>
    <row r="3110" spans="3:13" ht="12.75" customHeight="1" x14ac:dyDescent="0.2">
      <c r="C3110"/>
      <c r="M3110"/>
    </row>
    <row r="3111" spans="3:13" ht="12.75" customHeight="1" x14ac:dyDescent="0.2">
      <c r="C3111"/>
      <c r="M3111"/>
    </row>
    <row r="3112" spans="3:13" ht="12.75" customHeight="1" x14ac:dyDescent="0.2">
      <c r="C3112"/>
      <c r="M3112"/>
    </row>
    <row r="3113" spans="3:13" ht="12.75" customHeight="1" x14ac:dyDescent="0.2">
      <c r="C3113"/>
      <c r="M3113"/>
    </row>
    <row r="3114" spans="3:13" ht="12.75" customHeight="1" x14ac:dyDescent="0.2">
      <c r="C3114"/>
      <c r="M3114"/>
    </row>
    <row r="3115" spans="3:13" ht="12.75" customHeight="1" x14ac:dyDescent="0.2">
      <c r="C3115"/>
      <c r="M3115"/>
    </row>
    <row r="3116" spans="3:13" ht="12.75" customHeight="1" x14ac:dyDescent="0.2">
      <c r="C3116"/>
      <c r="M3116"/>
    </row>
    <row r="3117" spans="3:13" ht="12.75" customHeight="1" x14ac:dyDescent="0.2">
      <c r="C3117"/>
      <c r="M3117"/>
    </row>
    <row r="3118" spans="3:13" ht="12.75" customHeight="1" x14ac:dyDescent="0.2">
      <c r="C3118"/>
      <c r="M3118"/>
    </row>
    <row r="3119" spans="3:13" ht="12.75" customHeight="1" x14ac:dyDescent="0.2">
      <c r="C3119"/>
      <c r="M3119"/>
    </row>
    <row r="3120" spans="3:13" ht="12.75" customHeight="1" x14ac:dyDescent="0.2">
      <c r="C3120"/>
      <c r="M3120"/>
    </row>
    <row r="3121" spans="3:13" ht="12.75" customHeight="1" x14ac:dyDescent="0.2">
      <c r="C3121"/>
      <c r="M3121"/>
    </row>
    <row r="3122" spans="3:13" ht="12.75" customHeight="1" x14ac:dyDescent="0.2">
      <c r="C3122"/>
      <c r="M3122"/>
    </row>
    <row r="3123" spans="3:13" ht="12.75" customHeight="1" x14ac:dyDescent="0.2">
      <c r="C3123"/>
      <c r="M3123"/>
    </row>
    <row r="3124" spans="3:13" ht="12.75" customHeight="1" x14ac:dyDescent="0.2">
      <c r="C3124"/>
      <c r="M3124"/>
    </row>
    <row r="3125" spans="3:13" ht="12.75" customHeight="1" x14ac:dyDescent="0.2">
      <c r="C3125"/>
      <c r="M3125"/>
    </row>
    <row r="3126" spans="3:13" ht="12.75" customHeight="1" x14ac:dyDescent="0.2">
      <c r="C3126"/>
      <c r="M3126"/>
    </row>
    <row r="3127" spans="3:13" ht="12.75" customHeight="1" x14ac:dyDescent="0.2">
      <c r="C3127"/>
      <c r="M3127"/>
    </row>
    <row r="3128" spans="3:13" ht="12.75" customHeight="1" x14ac:dyDescent="0.2">
      <c r="C3128"/>
      <c r="M3128"/>
    </row>
    <row r="3129" spans="3:13" ht="12.75" customHeight="1" x14ac:dyDescent="0.2">
      <c r="C3129"/>
      <c r="M3129"/>
    </row>
    <row r="3130" spans="3:13" ht="12.75" customHeight="1" x14ac:dyDescent="0.2">
      <c r="C3130"/>
      <c r="M3130"/>
    </row>
    <row r="3131" spans="3:13" ht="12.75" customHeight="1" x14ac:dyDescent="0.2">
      <c r="C3131"/>
      <c r="M3131"/>
    </row>
    <row r="3132" spans="3:13" ht="12.75" customHeight="1" x14ac:dyDescent="0.2">
      <c r="C3132"/>
      <c r="M3132"/>
    </row>
    <row r="3133" spans="3:13" ht="12.75" customHeight="1" x14ac:dyDescent="0.2">
      <c r="C3133"/>
      <c r="M3133"/>
    </row>
    <row r="3134" spans="3:13" ht="12.75" customHeight="1" x14ac:dyDescent="0.2">
      <c r="C3134"/>
      <c r="M3134"/>
    </row>
    <row r="3135" spans="3:13" ht="12.75" customHeight="1" x14ac:dyDescent="0.2">
      <c r="C3135"/>
      <c r="M3135"/>
    </row>
    <row r="3136" spans="3:13" ht="12.75" customHeight="1" x14ac:dyDescent="0.2">
      <c r="C3136"/>
      <c r="M3136"/>
    </row>
    <row r="3137" spans="3:13" ht="12.75" customHeight="1" x14ac:dyDescent="0.2">
      <c r="C3137"/>
      <c r="M3137"/>
    </row>
    <row r="3138" spans="3:13" ht="12.75" customHeight="1" x14ac:dyDescent="0.2">
      <c r="C3138"/>
      <c r="M3138"/>
    </row>
    <row r="3139" spans="3:13" ht="12.75" customHeight="1" x14ac:dyDescent="0.2">
      <c r="C3139"/>
      <c r="M3139"/>
    </row>
    <row r="3140" spans="3:13" ht="12.75" customHeight="1" x14ac:dyDescent="0.2">
      <c r="C3140"/>
      <c r="M3140"/>
    </row>
    <row r="3141" spans="3:13" ht="12.75" customHeight="1" x14ac:dyDescent="0.2">
      <c r="C3141"/>
      <c r="M3141"/>
    </row>
    <row r="3142" spans="3:13" ht="12.75" customHeight="1" x14ac:dyDescent="0.2">
      <c r="C3142"/>
      <c r="M3142"/>
    </row>
    <row r="3143" spans="3:13" ht="12.75" customHeight="1" x14ac:dyDescent="0.2">
      <c r="C3143"/>
      <c r="M3143"/>
    </row>
    <row r="3144" spans="3:13" ht="12.75" customHeight="1" x14ac:dyDescent="0.2">
      <c r="C3144"/>
      <c r="M3144"/>
    </row>
    <row r="3145" spans="3:13" ht="12.75" customHeight="1" x14ac:dyDescent="0.2">
      <c r="C3145"/>
      <c r="M3145"/>
    </row>
    <row r="3146" spans="3:13" ht="12.75" customHeight="1" x14ac:dyDescent="0.2">
      <c r="C3146"/>
      <c r="M3146"/>
    </row>
    <row r="3147" spans="3:13" ht="12.75" customHeight="1" x14ac:dyDescent="0.2">
      <c r="C3147"/>
      <c r="M3147"/>
    </row>
    <row r="3148" spans="3:13" ht="12.75" customHeight="1" x14ac:dyDescent="0.2">
      <c r="C3148"/>
      <c r="M3148"/>
    </row>
    <row r="3149" spans="3:13" ht="12.75" customHeight="1" x14ac:dyDescent="0.2">
      <c r="C3149"/>
      <c r="M3149"/>
    </row>
    <row r="3150" spans="3:13" ht="12.75" customHeight="1" x14ac:dyDescent="0.2">
      <c r="C3150"/>
      <c r="M3150"/>
    </row>
    <row r="3151" spans="3:13" ht="12.75" customHeight="1" x14ac:dyDescent="0.2">
      <c r="C3151"/>
      <c r="M3151"/>
    </row>
    <row r="3152" spans="3:13" ht="12.75" customHeight="1" x14ac:dyDescent="0.2">
      <c r="C3152"/>
      <c r="M3152"/>
    </row>
    <row r="3153" spans="3:13" ht="12.75" customHeight="1" x14ac:dyDescent="0.2">
      <c r="C3153"/>
      <c r="M3153"/>
    </row>
    <row r="3154" spans="3:13" ht="12.75" customHeight="1" x14ac:dyDescent="0.2">
      <c r="C3154"/>
      <c r="M3154"/>
    </row>
    <row r="3155" spans="3:13" ht="12.75" customHeight="1" x14ac:dyDescent="0.2">
      <c r="C3155"/>
      <c r="M3155"/>
    </row>
    <row r="3156" spans="3:13" ht="12.75" customHeight="1" x14ac:dyDescent="0.2">
      <c r="C3156"/>
      <c r="M3156"/>
    </row>
    <row r="3157" spans="3:13" ht="12.75" customHeight="1" x14ac:dyDescent="0.2">
      <c r="C3157"/>
      <c r="M3157"/>
    </row>
    <row r="3158" spans="3:13" ht="12.75" customHeight="1" x14ac:dyDescent="0.2">
      <c r="C3158"/>
      <c r="M3158"/>
    </row>
    <row r="3159" spans="3:13" ht="12.75" customHeight="1" x14ac:dyDescent="0.2">
      <c r="C3159"/>
      <c r="M3159"/>
    </row>
    <row r="3160" spans="3:13" ht="12.75" customHeight="1" x14ac:dyDescent="0.2">
      <c r="C3160"/>
      <c r="M3160"/>
    </row>
    <row r="3161" spans="3:13" ht="12.75" customHeight="1" x14ac:dyDescent="0.2">
      <c r="C3161"/>
      <c r="M3161"/>
    </row>
    <row r="3162" spans="3:13" ht="12.75" customHeight="1" x14ac:dyDescent="0.2">
      <c r="C3162"/>
      <c r="M3162"/>
    </row>
    <row r="3163" spans="3:13" ht="12.75" customHeight="1" x14ac:dyDescent="0.2">
      <c r="C3163"/>
      <c r="M3163"/>
    </row>
    <row r="3164" spans="3:13" ht="12.75" customHeight="1" x14ac:dyDescent="0.2">
      <c r="C3164"/>
      <c r="M3164"/>
    </row>
    <row r="3165" spans="3:13" ht="12.75" customHeight="1" x14ac:dyDescent="0.2">
      <c r="C3165"/>
      <c r="M3165"/>
    </row>
    <row r="3166" spans="3:13" ht="12.75" customHeight="1" x14ac:dyDescent="0.2">
      <c r="C3166"/>
      <c r="M3166"/>
    </row>
    <row r="3167" spans="3:13" ht="12.75" customHeight="1" x14ac:dyDescent="0.2">
      <c r="C3167"/>
      <c r="M3167"/>
    </row>
    <row r="3168" spans="3:13" ht="12.75" customHeight="1" x14ac:dyDescent="0.2">
      <c r="C3168"/>
      <c r="M3168"/>
    </row>
    <row r="3169" spans="3:13" ht="12.75" customHeight="1" x14ac:dyDescent="0.2">
      <c r="C3169"/>
      <c r="M3169"/>
    </row>
    <row r="3170" spans="3:13" ht="12.75" customHeight="1" x14ac:dyDescent="0.2">
      <c r="C3170"/>
      <c r="M3170"/>
    </row>
    <row r="3171" spans="3:13" ht="12.75" customHeight="1" x14ac:dyDescent="0.2">
      <c r="C3171"/>
      <c r="M3171"/>
    </row>
    <row r="3172" spans="3:13" ht="12.75" customHeight="1" x14ac:dyDescent="0.2">
      <c r="C3172"/>
      <c r="M3172"/>
    </row>
    <row r="3173" spans="3:13" ht="12.75" customHeight="1" x14ac:dyDescent="0.2">
      <c r="C3173"/>
      <c r="M3173"/>
    </row>
    <row r="3174" spans="3:13" ht="12.75" customHeight="1" x14ac:dyDescent="0.2">
      <c r="C3174"/>
      <c r="M3174"/>
    </row>
    <row r="3175" spans="3:13" ht="12.75" customHeight="1" x14ac:dyDescent="0.2">
      <c r="C3175"/>
      <c r="M3175"/>
    </row>
    <row r="3176" spans="3:13" ht="12.75" customHeight="1" x14ac:dyDescent="0.2">
      <c r="C3176"/>
      <c r="M3176"/>
    </row>
    <row r="3177" spans="3:13" ht="12.75" customHeight="1" x14ac:dyDescent="0.2">
      <c r="C3177"/>
      <c r="M3177"/>
    </row>
    <row r="3178" spans="3:13" ht="12.75" customHeight="1" x14ac:dyDescent="0.2">
      <c r="C3178"/>
      <c r="M3178"/>
    </row>
    <row r="3179" spans="3:13" ht="12.75" customHeight="1" x14ac:dyDescent="0.2">
      <c r="C3179"/>
      <c r="M3179"/>
    </row>
    <row r="3180" spans="3:13" ht="12.75" customHeight="1" x14ac:dyDescent="0.2">
      <c r="C3180"/>
      <c r="M3180"/>
    </row>
    <row r="3181" spans="3:13" ht="12.75" customHeight="1" x14ac:dyDescent="0.2">
      <c r="C3181"/>
      <c r="M3181"/>
    </row>
    <row r="3182" spans="3:13" ht="12.75" customHeight="1" x14ac:dyDescent="0.2">
      <c r="C3182"/>
      <c r="M3182"/>
    </row>
    <row r="3183" spans="3:13" ht="12.75" customHeight="1" x14ac:dyDescent="0.2">
      <c r="C3183"/>
      <c r="M3183"/>
    </row>
    <row r="3184" spans="3:13" ht="12.75" customHeight="1" x14ac:dyDescent="0.2">
      <c r="C3184"/>
      <c r="M3184"/>
    </row>
    <row r="3185" spans="3:13" ht="12.75" customHeight="1" x14ac:dyDescent="0.2">
      <c r="C3185"/>
      <c r="M3185"/>
    </row>
    <row r="3186" spans="3:13" ht="12.75" customHeight="1" x14ac:dyDescent="0.2">
      <c r="C3186"/>
      <c r="M3186"/>
    </row>
    <row r="3187" spans="3:13" ht="12.75" customHeight="1" x14ac:dyDescent="0.2">
      <c r="C3187"/>
      <c r="M3187"/>
    </row>
    <row r="3188" spans="3:13" ht="12.75" customHeight="1" x14ac:dyDescent="0.2">
      <c r="C3188"/>
      <c r="M3188"/>
    </row>
    <row r="3189" spans="3:13" ht="12.75" customHeight="1" x14ac:dyDescent="0.2">
      <c r="C3189"/>
      <c r="M3189"/>
    </row>
    <row r="3190" spans="3:13" ht="12.75" customHeight="1" x14ac:dyDescent="0.2">
      <c r="C3190"/>
      <c r="M3190"/>
    </row>
    <row r="3191" spans="3:13" ht="12.75" customHeight="1" x14ac:dyDescent="0.2">
      <c r="C3191"/>
      <c r="M3191"/>
    </row>
    <row r="3192" spans="3:13" ht="12.75" customHeight="1" x14ac:dyDescent="0.2">
      <c r="C3192"/>
      <c r="M3192"/>
    </row>
    <row r="3193" spans="3:13" ht="12.75" customHeight="1" x14ac:dyDescent="0.2">
      <c r="C3193"/>
      <c r="M3193"/>
    </row>
    <row r="3194" spans="3:13" ht="12.75" customHeight="1" x14ac:dyDescent="0.2">
      <c r="C3194"/>
      <c r="M3194"/>
    </row>
    <row r="3195" spans="3:13" ht="12.75" customHeight="1" x14ac:dyDescent="0.2">
      <c r="C3195"/>
      <c r="M3195"/>
    </row>
    <row r="3196" spans="3:13" ht="12.75" customHeight="1" x14ac:dyDescent="0.2">
      <c r="C3196"/>
      <c r="M3196"/>
    </row>
    <row r="3197" spans="3:13" ht="12.75" customHeight="1" x14ac:dyDescent="0.2">
      <c r="C3197"/>
      <c r="M3197"/>
    </row>
    <row r="3198" spans="3:13" ht="12.75" customHeight="1" x14ac:dyDescent="0.2">
      <c r="C3198"/>
      <c r="M3198"/>
    </row>
    <row r="3199" spans="3:13" ht="12.75" customHeight="1" x14ac:dyDescent="0.2">
      <c r="C3199"/>
      <c r="M3199"/>
    </row>
    <row r="3200" spans="3:13" ht="12.75" customHeight="1" x14ac:dyDescent="0.2">
      <c r="C3200"/>
      <c r="M3200"/>
    </row>
    <row r="3201" spans="3:13" ht="12.75" customHeight="1" x14ac:dyDescent="0.2">
      <c r="C3201"/>
      <c r="M3201"/>
    </row>
    <row r="3202" spans="3:13" ht="12.75" customHeight="1" x14ac:dyDescent="0.2">
      <c r="C3202"/>
      <c r="M3202"/>
    </row>
    <row r="3203" spans="3:13" ht="12.75" customHeight="1" x14ac:dyDescent="0.2">
      <c r="C3203"/>
      <c r="M3203"/>
    </row>
    <row r="3204" spans="3:13" ht="12.75" customHeight="1" x14ac:dyDescent="0.2">
      <c r="C3204"/>
      <c r="M3204"/>
    </row>
    <row r="3205" spans="3:13" ht="12.75" customHeight="1" x14ac:dyDescent="0.2">
      <c r="C3205"/>
      <c r="M3205"/>
    </row>
    <row r="3206" spans="3:13" ht="12.75" customHeight="1" x14ac:dyDescent="0.2">
      <c r="C3206"/>
      <c r="M3206"/>
    </row>
    <row r="3207" spans="3:13" ht="12.75" customHeight="1" x14ac:dyDescent="0.2">
      <c r="C3207"/>
      <c r="M3207"/>
    </row>
    <row r="3208" spans="3:13" ht="12.75" customHeight="1" x14ac:dyDescent="0.2">
      <c r="C3208"/>
      <c r="M3208"/>
    </row>
    <row r="3209" spans="3:13" ht="12.75" customHeight="1" x14ac:dyDescent="0.2">
      <c r="C3209"/>
      <c r="M3209"/>
    </row>
    <row r="3210" spans="3:13" ht="12.75" customHeight="1" x14ac:dyDescent="0.2">
      <c r="C3210"/>
      <c r="M3210"/>
    </row>
    <row r="3211" spans="3:13" ht="12.75" customHeight="1" x14ac:dyDescent="0.2">
      <c r="C3211"/>
      <c r="M3211"/>
    </row>
    <row r="3212" spans="3:13" ht="12.75" customHeight="1" x14ac:dyDescent="0.2">
      <c r="C3212"/>
      <c r="M3212"/>
    </row>
    <row r="3213" spans="3:13" ht="12.75" customHeight="1" x14ac:dyDescent="0.2">
      <c r="C3213"/>
      <c r="M3213"/>
    </row>
    <row r="3214" spans="3:13" ht="12.75" customHeight="1" x14ac:dyDescent="0.2">
      <c r="C3214"/>
      <c r="M3214"/>
    </row>
    <row r="3215" spans="3:13" ht="12.75" customHeight="1" x14ac:dyDescent="0.2">
      <c r="C3215"/>
      <c r="M3215"/>
    </row>
    <row r="3216" spans="3:13" ht="12.75" customHeight="1" x14ac:dyDescent="0.2">
      <c r="C3216"/>
      <c r="M3216"/>
    </row>
    <row r="3217" spans="3:13" ht="12.75" customHeight="1" x14ac:dyDescent="0.2">
      <c r="C3217"/>
      <c r="M3217"/>
    </row>
    <row r="3218" spans="3:13" ht="12.75" customHeight="1" x14ac:dyDescent="0.2">
      <c r="C3218"/>
      <c r="M3218"/>
    </row>
    <row r="3219" spans="3:13" ht="12.75" customHeight="1" x14ac:dyDescent="0.2">
      <c r="C3219"/>
      <c r="M3219"/>
    </row>
    <row r="3220" spans="3:13" ht="12.75" customHeight="1" x14ac:dyDescent="0.2">
      <c r="C3220"/>
      <c r="M3220"/>
    </row>
    <row r="3221" spans="3:13" ht="12.75" customHeight="1" x14ac:dyDescent="0.2">
      <c r="C3221"/>
      <c r="M3221"/>
    </row>
    <row r="3222" spans="3:13" ht="12.75" customHeight="1" x14ac:dyDescent="0.2">
      <c r="C3222"/>
      <c r="M3222"/>
    </row>
    <row r="3223" spans="3:13" ht="12.75" customHeight="1" x14ac:dyDescent="0.2">
      <c r="C3223"/>
      <c r="M3223"/>
    </row>
    <row r="3224" spans="3:13" ht="12.75" customHeight="1" x14ac:dyDescent="0.2">
      <c r="C3224"/>
      <c r="M3224"/>
    </row>
    <row r="3225" spans="3:13" ht="12.75" customHeight="1" x14ac:dyDescent="0.2">
      <c r="C3225"/>
      <c r="M3225"/>
    </row>
    <row r="3226" spans="3:13" ht="12.75" customHeight="1" x14ac:dyDescent="0.2">
      <c r="C3226"/>
      <c r="M3226"/>
    </row>
    <row r="3227" spans="3:13" ht="12.75" customHeight="1" x14ac:dyDescent="0.2">
      <c r="C3227"/>
      <c r="M3227"/>
    </row>
    <row r="3228" spans="3:13" ht="12.75" customHeight="1" x14ac:dyDescent="0.2">
      <c r="C3228"/>
      <c r="M3228"/>
    </row>
    <row r="3229" spans="3:13" ht="12.75" customHeight="1" x14ac:dyDescent="0.2">
      <c r="C3229"/>
      <c r="M3229"/>
    </row>
    <row r="3230" spans="3:13" ht="12.75" customHeight="1" x14ac:dyDescent="0.2">
      <c r="C3230"/>
      <c r="M3230"/>
    </row>
    <row r="3231" spans="3:13" ht="12.75" customHeight="1" x14ac:dyDescent="0.2">
      <c r="C3231"/>
      <c r="M3231"/>
    </row>
    <row r="3232" spans="3:13" ht="12.75" customHeight="1" x14ac:dyDescent="0.2">
      <c r="C3232"/>
      <c r="M3232"/>
    </row>
    <row r="3233" spans="3:13" ht="12.75" customHeight="1" x14ac:dyDescent="0.2">
      <c r="C3233"/>
      <c r="M3233"/>
    </row>
    <row r="3234" spans="3:13" ht="12.75" customHeight="1" x14ac:dyDescent="0.2">
      <c r="C3234"/>
      <c r="M3234"/>
    </row>
    <row r="3235" spans="3:13" ht="12.75" customHeight="1" x14ac:dyDescent="0.2">
      <c r="C3235"/>
      <c r="M3235"/>
    </row>
    <row r="3236" spans="3:13" ht="12.75" customHeight="1" x14ac:dyDescent="0.2">
      <c r="C3236"/>
      <c r="M3236"/>
    </row>
    <row r="3237" spans="3:13" ht="12.75" customHeight="1" x14ac:dyDescent="0.2">
      <c r="C3237"/>
      <c r="M3237"/>
    </row>
    <row r="3238" spans="3:13" ht="12.75" customHeight="1" x14ac:dyDescent="0.2">
      <c r="C3238"/>
      <c r="M3238"/>
    </row>
    <row r="3239" spans="3:13" ht="12.75" customHeight="1" x14ac:dyDescent="0.2">
      <c r="C3239"/>
      <c r="M3239"/>
    </row>
    <row r="3240" spans="3:13" ht="12.75" customHeight="1" x14ac:dyDescent="0.2">
      <c r="C3240"/>
      <c r="M3240"/>
    </row>
    <row r="3241" spans="3:13" ht="12.75" customHeight="1" x14ac:dyDescent="0.2">
      <c r="C3241"/>
      <c r="M3241"/>
    </row>
    <row r="3242" spans="3:13" ht="12.75" customHeight="1" x14ac:dyDescent="0.2">
      <c r="C3242"/>
      <c r="M3242"/>
    </row>
    <row r="3243" spans="3:13" ht="12.75" customHeight="1" x14ac:dyDescent="0.2">
      <c r="C3243"/>
      <c r="M3243"/>
    </row>
    <row r="3244" spans="3:13" ht="12.75" customHeight="1" x14ac:dyDescent="0.2">
      <c r="C3244"/>
      <c r="M3244"/>
    </row>
    <row r="3245" spans="3:13" ht="12.75" customHeight="1" x14ac:dyDescent="0.2">
      <c r="C3245"/>
      <c r="M3245"/>
    </row>
    <row r="3246" spans="3:13" ht="12.75" customHeight="1" x14ac:dyDescent="0.2">
      <c r="C3246"/>
      <c r="M3246"/>
    </row>
    <row r="3247" spans="3:13" ht="12.75" customHeight="1" x14ac:dyDescent="0.2">
      <c r="C3247"/>
      <c r="M3247"/>
    </row>
    <row r="3248" spans="3:13" ht="12.75" customHeight="1" x14ac:dyDescent="0.2">
      <c r="C3248"/>
      <c r="M3248"/>
    </row>
    <row r="3249" spans="3:13" ht="12.75" customHeight="1" x14ac:dyDescent="0.2">
      <c r="C3249"/>
      <c r="M3249"/>
    </row>
    <row r="3250" spans="3:13" ht="12.75" customHeight="1" x14ac:dyDescent="0.2">
      <c r="C3250"/>
      <c r="M3250"/>
    </row>
    <row r="3251" spans="3:13" ht="12.75" customHeight="1" x14ac:dyDescent="0.2">
      <c r="C3251"/>
      <c r="M3251"/>
    </row>
    <row r="3252" spans="3:13" ht="12.75" customHeight="1" x14ac:dyDescent="0.2">
      <c r="C3252"/>
      <c r="M3252"/>
    </row>
    <row r="3253" spans="3:13" ht="12.75" customHeight="1" x14ac:dyDescent="0.2">
      <c r="C3253"/>
      <c r="M3253"/>
    </row>
    <row r="3254" spans="3:13" ht="12.75" customHeight="1" x14ac:dyDescent="0.2">
      <c r="C3254"/>
      <c r="M3254"/>
    </row>
    <row r="3255" spans="3:13" ht="12.75" customHeight="1" x14ac:dyDescent="0.2">
      <c r="C3255"/>
      <c r="M3255"/>
    </row>
    <row r="3256" spans="3:13" ht="12.75" customHeight="1" x14ac:dyDescent="0.2">
      <c r="C3256"/>
      <c r="M3256"/>
    </row>
    <row r="3257" spans="3:13" ht="12.75" customHeight="1" x14ac:dyDescent="0.2">
      <c r="C3257"/>
      <c r="M3257"/>
    </row>
    <row r="3258" spans="3:13" ht="12.75" customHeight="1" x14ac:dyDescent="0.2">
      <c r="C3258"/>
      <c r="M3258"/>
    </row>
    <row r="3259" spans="3:13" ht="12.75" customHeight="1" x14ac:dyDescent="0.2">
      <c r="C3259"/>
      <c r="M3259"/>
    </row>
    <row r="3260" spans="3:13" ht="12.75" customHeight="1" x14ac:dyDescent="0.2">
      <c r="C3260"/>
      <c r="M3260"/>
    </row>
    <row r="3261" spans="3:13" ht="12.75" customHeight="1" x14ac:dyDescent="0.2">
      <c r="C3261"/>
      <c r="M3261"/>
    </row>
    <row r="3262" spans="3:13" ht="12.75" customHeight="1" x14ac:dyDescent="0.2">
      <c r="C3262"/>
      <c r="M3262"/>
    </row>
    <row r="3263" spans="3:13" ht="12.75" customHeight="1" x14ac:dyDescent="0.2">
      <c r="C3263"/>
      <c r="M3263"/>
    </row>
    <row r="3264" spans="3:13" ht="12.75" customHeight="1" x14ac:dyDescent="0.2">
      <c r="C3264"/>
      <c r="M3264"/>
    </row>
    <row r="3265" spans="3:13" ht="12.75" customHeight="1" x14ac:dyDescent="0.2">
      <c r="C3265"/>
      <c r="M3265"/>
    </row>
    <row r="3266" spans="3:13" ht="12.75" customHeight="1" x14ac:dyDescent="0.2">
      <c r="C3266"/>
      <c r="M3266"/>
    </row>
    <row r="3267" spans="3:13" ht="12.75" customHeight="1" x14ac:dyDescent="0.2">
      <c r="C3267"/>
      <c r="M3267"/>
    </row>
    <row r="3268" spans="3:13" ht="12.75" customHeight="1" x14ac:dyDescent="0.2">
      <c r="C3268"/>
      <c r="M3268"/>
    </row>
    <row r="3269" spans="3:13" ht="12.75" customHeight="1" x14ac:dyDescent="0.2">
      <c r="C3269"/>
      <c r="M3269"/>
    </row>
    <row r="3270" spans="3:13" ht="12.75" customHeight="1" x14ac:dyDescent="0.2">
      <c r="C3270"/>
      <c r="M3270"/>
    </row>
    <row r="3271" spans="3:13" ht="12.75" customHeight="1" x14ac:dyDescent="0.2">
      <c r="C3271"/>
      <c r="M3271"/>
    </row>
    <row r="3272" spans="3:13" ht="12.75" customHeight="1" x14ac:dyDescent="0.2">
      <c r="C3272"/>
      <c r="M3272"/>
    </row>
    <row r="3273" spans="3:13" ht="12.75" customHeight="1" x14ac:dyDescent="0.2">
      <c r="C3273"/>
      <c r="M3273"/>
    </row>
    <row r="3274" spans="3:13" ht="12.75" customHeight="1" x14ac:dyDescent="0.2">
      <c r="C3274"/>
      <c r="M3274"/>
    </row>
    <row r="3275" spans="3:13" ht="12.75" customHeight="1" x14ac:dyDescent="0.2">
      <c r="C3275"/>
      <c r="M3275"/>
    </row>
    <row r="3276" spans="3:13" ht="12.75" customHeight="1" x14ac:dyDescent="0.2">
      <c r="C3276"/>
      <c r="M3276"/>
    </row>
    <row r="3277" spans="3:13" ht="12.75" customHeight="1" x14ac:dyDescent="0.2">
      <c r="C3277"/>
      <c r="M3277"/>
    </row>
    <row r="3278" spans="3:13" ht="12.75" customHeight="1" x14ac:dyDescent="0.2">
      <c r="C3278"/>
      <c r="M3278"/>
    </row>
    <row r="3279" spans="3:13" ht="12.75" customHeight="1" x14ac:dyDescent="0.2">
      <c r="C3279"/>
      <c r="M3279"/>
    </row>
    <row r="3280" spans="3:13" ht="12.75" customHeight="1" x14ac:dyDescent="0.2">
      <c r="C3280"/>
      <c r="M3280"/>
    </row>
    <row r="3281" spans="3:13" ht="12.75" customHeight="1" x14ac:dyDescent="0.2">
      <c r="C3281"/>
      <c r="M3281"/>
    </row>
    <row r="3282" spans="3:13" ht="12.75" customHeight="1" x14ac:dyDescent="0.2">
      <c r="C3282"/>
      <c r="M3282"/>
    </row>
    <row r="3283" spans="3:13" ht="12.75" customHeight="1" x14ac:dyDescent="0.2">
      <c r="C3283"/>
      <c r="M3283"/>
    </row>
    <row r="3284" spans="3:13" ht="12.75" customHeight="1" x14ac:dyDescent="0.2">
      <c r="C3284"/>
      <c r="M3284"/>
    </row>
    <row r="3285" spans="3:13" ht="12.75" customHeight="1" x14ac:dyDescent="0.2">
      <c r="C3285"/>
      <c r="M3285"/>
    </row>
    <row r="3286" spans="3:13" ht="12.75" customHeight="1" x14ac:dyDescent="0.2">
      <c r="C3286"/>
      <c r="M3286"/>
    </row>
    <row r="3287" spans="3:13" ht="12.75" customHeight="1" x14ac:dyDescent="0.2">
      <c r="C3287"/>
      <c r="M3287"/>
    </row>
    <row r="3288" spans="3:13" ht="12.75" customHeight="1" x14ac:dyDescent="0.2">
      <c r="C3288"/>
      <c r="M3288"/>
    </row>
    <row r="3289" spans="3:13" ht="12.75" customHeight="1" x14ac:dyDescent="0.2">
      <c r="C3289"/>
      <c r="M3289"/>
    </row>
    <row r="3290" spans="3:13" ht="12.75" customHeight="1" x14ac:dyDescent="0.2">
      <c r="C3290"/>
      <c r="M3290"/>
    </row>
    <row r="3291" spans="3:13" ht="12.75" customHeight="1" x14ac:dyDescent="0.2">
      <c r="C3291"/>
      <c r="M3291"/>
    </row>
    <row r="3292" spans="3:13" ht="12.75" customHeight="1" x14ac:dyDescent="0.2">
      <c r="C3292"/>
      <c r="M3292"/>
    </row>
    <row r="3293" spans="3:13" ht="12.75" customHeight="1" x14ac:dyDescent="0.2">
      <c r="C3293"/>
      <c r="M3293"/>
    </row>
    <row r="3294" spans="3:13" ht="12.75" customHeight="1" x14ac:dyDescent="0.2">
      <c r="C3294"/>
      <c r="M3294"/>
    </row>
    <row r="3295" spans="3:13" ht="12.75" customHeight="1" x14ac:dyDescent="0.2">
      <c r="C3295"/>
      <c r="M3295"/>
    </row>
    <row r="3296" spans="3:13" ht="12.75" customHeight="1" x14ac:dyDescent="0.2">
      <c r="C3296"/>
      <c r="M3296"/>
    </row>
    <row r="3297" spans="3:13" ht="12.75" customHeight="1" x14ac:dyDescent="0.2">
      <c r="C3297"/>
      <c r="M3297"/>
    </row>
    <row r="3298" spans="3:13" ht="12.75" customHeight="1" x14ac:dyDescent="0.2">
      <c r="C3298"/>
      <c r="M3298"/>
    </row>
    <row r="3299" spans="3:13" ht="12.75" customHeight="1" x14ac:dyDescent="0.2">
      <c r="C3299"/>
      <c r="M3299"/>
    </row>
    <row r="3300" spans="3:13" ht="12.75" customHeight="1" x14ac:dyDescent="0.2">
      <c r="C3300"/>
      <c r="M3300"/>
    </row>
    <row r="3301" spans="3:13" ht="12.75" customHeight="1" x14ac:dyDescent="0.2">
      <c r="C3301"/>
      <c r="M3301"/>
    </row>
    <row r="3302" spans="3:13" ht="12.75" customHeight="1" x14ac:dyDescent="0.2">
      <c r="C3302"/>
      <c r="M3302"/>
    </row>
    <row r="3303" spans="3:13" ht="12.75" customHeight="1" x14ac:dyDescent="0.2">
      <c r="C3303"/>
      <c r="M3303"/>
    </row>
    <row r="3304" spans="3:13" ht="12.75" customHeight="1" x14ac:dyDescent="0.2">
      <c r="C3304"/>
      <c r="M3304"/>
    </row>
    <row r="3305" spans="3:13" ht="12.75" customHeight="1" x14ac:dyDescent="0.2">
      <c r="C3305"/>
      <c r="M3305"/>
    </row>
    <row r="3306" spans="3:13" ht="12.75" customHeight="1" x14ac:dyDescent="0.2">
      <c r="C3306"/>
      <c r="M3306"/>
    </row>
    <row r="3307" spans="3:13" ht="12.75" customHeight="1" x14ac:dyDescent="0.2">
      <c r="C3307"/>
      <c r="M3307"/>
    </row>
    <row r="3308" spans="3:13" ht="12.75" customHeight="1" x14ac:dyDescent="0.2">
      <c r="C3308"/>
      <c r="M3308"/>
    </row>
    <row r="3309" spans="3:13" ht="12.75" customHeight="1" x14ac:dyDescent="0.2">
      <c r="C3309"/>
      <c r="M3309"/>
    </row>
    <row r="3310" spans="3:13" ht="12.75" customHeight="1" x14ac:dyDescent="0.2">
      <c r="C3310"/>
      <c r="M3310"/>
    </row>
    <row r="3311" spans="3:13" ht="12.75" customHeight="1" x14ac:dyDescent="0.2">
      <c r="C3311"/>
      <c r="M3311"/>
    </row>
    <row r="3312" spans="3:13" ht="12.75" customHeight="1" x14ac:dyDescent="0.2">
      <c r="C3312"/>
      <c r="M3312"/>
    </row>
    <row r="3313" spans="3:13" ht="12.75" customHeight="1" x14ac:dyDescent="0.2">
      <c r="C3313"/>
      <c r="M3313"/>
    </row>
    <row r="3314" spans="3:13" ht="12.75" customHeight="1" x14ac:dyDescent="0.2">
      <c r="C3314"/>
      <c r="M3314"/>
    </row>
    <row r="3315" spans="3:13" ht="12.75" customHeight="1" x14ac:dyDescent="0.2">
      <c r="C3315"/>
      <c r="M3315"/>
    </row>
    <row r="3316" spans="3:13" ht="12.75" customHeight="1" x14ac:dyDescent="0.2">
      <c r="C3316"/>
      <c r="M3316"/>
    </row>
    <row r="3317" spans="3:13" ht="12.75" customHeight="1" x14ac:dyDescent="0.2">
      <c r="C3317"/>
      <c r="M3317"/>
    </row>
    <row r="3318" spans="3:13" ht="12.75" customHeight="1" x14ac:dyDescent="0.2">
      <c r="C3318"/>
      <c r="M3318"/>
    </row>
    <row r="3319" spans="3:13" ht="12.75" customHeight="1" x14ac:dyDescent="0.2">
      <c r="C3319"/>
      <c r="M3319"/>
    </row>
    <row r="3320" spans="3:13" ht="12.75" customHeight="1" x14ac:dyDescent="0.2">
      <c r="C3320"/>
      <c r="M3320"/>
    </row>
    <row r="3321" spans="3:13" ht="12.75" customHeight="1" x14ac:dyDescent="0.2">
      <c r="C3321"/>
      <c r="M3321"/>
    </row>
    <row r="3322" spans="3:13" ht="12.75" customHeight="1" x14ac:dyDescent="0.2">
      <c r="C3322"/>
      <c r="M3322"/>
    </row>
    <row r="3323" spans="3:13" ht="12.75" customHeight="1" x14ac:dyDescent="0.2">
      <c r="C3323"/>
      <c r="M3323"/>
    </row>
    <row r="3324" spans="3:13" ht="12.75" customHeight="1" x14ac:dyDescent="0.2">
      <c r="C3324"/>
      <c r="M3324"/>
    </row>
    <row r="3325" spans="3:13" ht="12.75" customHeight="1" x14ac:dyDescent="0.2">
      <c r="C3325"/>
      <c r="M3325"/>
    </row>
    <row r="3326" spans="3:13" ht="12.75" customHeight="1" x14ac:dyDescent="0.2">
      <c r="C3326"/>
      <c r="M3326"/>
    </row>
    <row r="3327" spans="3:13" ht="12.75" customHeight="1" x14ac:dyDescent="0.2">
      <c r="C3327"/>
      <c r="M3327"/>
    </row>
    <row r="3328" spans="3:13" ht="12.75" customHeight="1" x14ac:dyDescent="0.2">
      <c r="C3328"/>
      <c r="M3328"/>
    </row>
    <row r="3329" spans="3:13" ht="12.75" customHeight="1" x14ac:dyDescent="0.2">
      <c r="C3329"/>
      <c r="M3329"/>
    </row>
    <row r="3330" spans="3:13" ht="12.75" customHeight="1" x14ac:dyDescent="0.2">
      <c r="C3330"/>
      <c r="M3330"/>
    </row>
    <row r="3331" spans="3:13" ht="12.75" customHeight="1" x14ac:dyDescent="0.2">
      <c r="C3331"/>
      <c r="M3331"/>
    </row>
    <row r="3332" spans="3:13" ht="12.75" customHeight="1" x14ac:dyDescent="0.2">
      <c r="C3332"/>
      <c r="M3332"/>
    </row>
    <row r="3333" spans="3:13" ht="12.75" customHeight="1" x14ac:dyDescent="0.2">
      <c r="C3333"/>
      <c r="M3333"/>
    </row>
    <row r="3334" spans="3:13" ht="12.75" customHeight="1" x14ac:dyDescent="0.2">
      <c r="C3334"/>
      <c r="M3334"/>
    </row>
    <row r="3335" spans="3:13" ht="12.75" customHeight="1" x14ac:dyDescent="0.2">
      <c r="C3335"/>
      <c r="M3335"/>
    </row>
    <row r="3336" spans="3:13" ht="12.75" customHeight="1" x14ac:dyDescent="0.2">
      <c r="C3336"/>
      <c r="M3336"/>
    </row>
    <row r="3337" spans="3:13" ht="12.75" customHeight="1" x14ac:dyDescent="0.2">
      <c r="C3337"/>
      <c r="M3337"/>
    </row>
    <row r="3338" spans="3:13" ht="12.75" customHeight="1" x14ac:dyDescent="0.2">
      <c r="C3338"/>
      <c r="M3338"/>
    </row>
    <row r="3339" spans="3:13" ht="12.75" customHeight="1" x14ac:dyDescent="0.2">
      <c r="C3339"/>
      <c r="M3339"/>
    </row>
    <row r="3340" spans="3:13" ht="12.75" customHeight="1" x14ac:dyDescent="0.2">
      <c r="C3340"/>
      <c r="M3340"/>
    </row>
    <row r="3341" spans="3:13" ht="12.75" customHeight="1" x14ac:dyDescent="0.2">
      <c r="C3341"/>
      <c r="M3341"/>
    </row>
    <row r="3342" spans="3:13" ht="12.75" customHeight="1" x14ac:dyDescent="0.2">
      <c r="C3342"/>
      <c r="M3342"/>
    </row>
    <row r="3343" spans="3:13" ht="12.75" customHeight="1" x14ac:dyDescent="0.2">
      <c r="C3343"/>
      <c r="M3343"/>
    </row>
    <row r="3344" spans="3:13" ht="12.75" customHeight="1" x14ac:dyDescent="0.2">
      <c r="C3344"/>
      <c r="M3344"/>
    </row>
    <row r="3345" spans="3:13" ht="12.75" customHeight="1" x14ac:dyDescent="0.2">
      <c r="C3345"/>
      <c r="M3345"/>
    </row>
    <row r="3346" spans="3:13" ht="12.75" customHeight="1" x14ac:dyDescent="0.2">
      <c r="C3346"/>
      <c r="M3346"/>
    </row>
    <row r="3347" spans="3:13" ht="12.75" customHeight="1" x14ac:dyDescent="0.2">
      <c r="C3347"/>
      <c r="M3347"/>
    </row>
    <row r="3348" spans="3:13" ht="12.75" customHeight="1" x14ac:dyDescent="0.2">
      <c r="C3348"/>
      <c r="M3348"/>
    </row>
    <row r="3349" spans="3:13" ht="12.75" customHeight="1" x14ac:dyDescent="0.2">
      <c r="C3349"/>
      <c r="M3349"/>
    </row>
    <row r="3350" spans="3:13" ht="12.75" customHeight="1" x14ac:dyDescent="0.2">
      <c r="C3350"/>
      <c r="M3350"/>
    </row>
    <row r="3351" spans="3:13" ht="12.75" customHeight="1" x14ac:dyDescent="0.2">
      <c r="C3351"/>
      <c r="M3351"/>
    </row>
    <row r="3352" spans="3:13" ht="12.75" customHeight="1" x14ac:dyDescent="0.2">
      <c r="C3352"/>
      <c r="M3352"/>
    </row>
    <row r="3353" spans="3:13" ht="12.75" customHeight="1" x14ac:dyDescent="0.2">
      <c r="C3353"/>
      <c r="M3353"/>
    </row>
    <row r="3354" spans="3:13" ht="12.75" customHeight="1" x14ac:dyDescent="0.2">
      <c r="C3354"/>
      <c r="M3354"/>
    </row>
    <row r="3355" spans="3:13" ht="12.75" customHeight="1" x14ac:dyDescent="0.2">
      <c r="C3355"/>
      <c r="M3355"/>
    </row>
    <row r="3356" spans="3:13" ht="12.75" customHeight="1" x14ac:dyDescent="0.2">
      <c r="C3356"/>
      <c r="M3356"/>
    </row>
    <row r="3357" spans="3:13" ht="12.75" customHeight="1" x14ac:dyDescent="0.2">
      <c r="C3357"/>
      <c r="M3357"/>
    </row>
    <row r="3358" spans="3:13" ht="12.75" customHeight="1" x14ac:dyDescent="0.2">
      <c r="C3358"/>
      <c r="M3358"/>
    </row>
    <row r="3359" spans="3:13" ht="12.75" customHeight="1" x14ac:dyDescent="0.2">
      <c r="C3359"/>
      <c r="M3359"/>
    </row>
    <row r="3360" spans="3:13" ht="12.75" customHeight="1" x14ac:dyDescent="0.2">
      <c r="C3360"/>
      <c r="M3360"/>
    </row>
    <row r="3361" spans="3:13" ht="12.75" customHeight="1" x14ac:dyDescent="0.2">
      <c r="C3361"/>
      <c r="M3361"/>
    </row>
    <row r="3362" spans="3:13" ht="12.75" customHeight="1" x14ac:dyDescent="0.2">
      <c r="C3362"/>
      <c r="M3362"/>
    </row>
    <row r="3363" spans="3:13" ht="12.75" customHeight="1" x14ac:dyDescent="0.2">
      <c r="C3363"/>
      <c r="M3363"/>
    </row>
    <row r="3364" spans="3:13" ht="12.75" customHeight="1" x14ac:dyDescent="0.2">
      <c r="C3364"/>
      <c r="M3364"/>
    </row>
    <row r="3365" spans="3:13" ht="12.75" customHeight="1" x14ac:dyDescent="0.2">
      <c r="C3365"/>
      <c r="M3365"/>
    </row>
    <row r="3366" spans="3:13" ht="12.75" customHeight="1" x14ac:dyDescent="0.2">
      <c r="C3366"/>
      <c r="M3366"/>
    </row>
    <row r="3367" spans="3:13" ht="12.75" customHeight="1" x14ac:dyDescent="0.2">
      <c r="C3367"/>
      <c r="M3367"/>
    </row>
    <row r="3368" spans="3:13" ht="12.75" customHeight="1" x14ac:dyDescent="0.2">
      <c r="C3368"/>
      <c r="M3368"/>
    </row>
    <row r="3369" spans="3:13" ht="12.75" customHeight="1" x14ac:dyDescent="0.2">
      <c r="C3369"/>
      <c r="M3369"/>
    </row>
    <row r="3370" spans="3:13" ht="12.75" customHeight="1" x14ac:dyDescent="0.2">
      <c r="C3370"/>
      <c r="M3370"/>
    </row>
    <row r="3371" spans="3:13" ht="12.75" customHeight="1" x14ac:dyDescent="0.2">
      <c r="C3371"/>
      <c r="M3371"/>
    </row>
    <row r="3372" spans="3:13" ht="12.75" customHeight="1" x14ac:dyDescent="0.2">
      <c r="C3372"/>
      <c r="M3372"/>
    </row>
    <row r="3373" spans="3:13" ht="12.75" customHeight="1" x14ac:dyDescent="0.2">
      <c r="C3373"/>
      <c r="M3373"/>
    </row>
    <row r="3374" spans="3:13" ht="12.75" customHeight="1" x14ac:dyDescent="0.2">
      <c r="C3374"/>
      <c r="M3374"/>
    </row>
    <row r="3375" spans="3:13" ht="12.75" customHeight="1" x14ac:dyDescent="0.2">
      <c r="C3375"/>
      <c r="M3375"/>
    </row>
    <row r="3376" spans="3:13" ht="12.75" customHeight="1" x14ac:dyDescent="0.2">
      <c r="C3376"/>
      <c r="M3376"/>
    </row>
    <row r="3377" spans="3:13" ht="12.75" customHeight="1" x14ac:dyDescent="0.2">
      <c r="C3377"/>
      <c r="M3377"/>
    </row>
    <row r="3378" spans="3:13" ht="12.75" customHeight="1" x14ac:dyDescent="0.2">
      <c r="C3378"/>
      <c r="M3378"/>
    </row>
    <row r="3379" spans="3:13" ht="12.75" customHeight="1" x14ac:dyDescent="0.2">
      <c r="C3379"/>
      <c r="M3379"/>
    </row>
    <row r="3380" spans="3:13" ht="12.75" customHeight="1" x14ac:dyDescent="0.2">
      <c r="C3380"/>
      <c r="M3380"/>
    </row>
    <row r="3381" spans="3:13" ht="12.75" customHeight="1" x14ac:dyDescent="0.2">
      <c r="C3381"/>
      <c r="M3381"/>
    </row>
    <row r="3382" spans="3:13" ht="12.75" customHeight="1" x14ac:dyDescent="0.2">
      <c r="C3382"/>
      <c r="M3382"/>
    </row>
    <row r="3383" spans="3:13" ht="12.75" customHeight="1" x14ac:dyDescent="0.2">
      <c r="C3383"/>
      <c r="M3383"/>
    </row>
    <row r="3384" spans="3:13" ht="12.75" customHeight="1" x14ac:dyDescent="0.2">
      <c r="C3384"/>
      <c r="M3384"/>
    </row>
    <row r="3385" spans="3:13" ht="12.75" customHeight="1" x14ac:dyDescent="0.2">
      <c r="C3385"/>
      <c r="M3385"/>
    </row>
    <row r="3386" spans="3:13" ht="12.75" customHeight="1" x14ac:dyDescent="0.2">
      <c r="C3386"/>
      <c r="M3386"/>
    </row>
    <row r="3387" spans="3:13" ht="12.75" customHeight="1" x14ac:dyDescent="0.2">
      <c r="C3387"/>
      <c r="M3387"/>
    </row>
    <row r="3388" spans="3:13" ht="12.75" customHeight="1" x14ac:dyDescent="0.2">
      <c r="C3388"/>
      <c r="M3388"/>
    </row>
    <row r="3389" spans="3:13" ht="12.75" customHeight="1" x14ac:dyDescent="0.2">
      <c r="C3389"/>
      <c r="M3389"/>
    </row>
    <row r="3390" spans="3:13" ht="12.75" customHeight="1" x14ac:dyDescent="0.2">
      <c r="C3390"/>
      <c r="M3390"/>
    </row>
    <row r="3391" spans="3:13" ht="12.75" customHeight="1" x14ac:dyDescent="0.2">
      <c r="C3391"/>
      <c r="M3391"/>
    </row>
    <row r="3392" spans="3:13" ht="12.75" customHeight="1" x14ac:dyDescent="0.2">
      <c r="C3392"/>
      <c r="M3392"/>
    </row>
    <row r="3393" spans="3:13" ht="12.75" customHeight="1" x14ac:dyDescent="0.2">
      <c r="C3393"/>
      <c r="M3393"/>
    </row>
    <row r="3394" spans="3:13" ht="12.75" customHeight="1" x14ac:dyDescent="0.2">
      <c r="C3394"/>
      <c r="M3394"/>
    </row>
    <row r="3395" spans="3:13" ht="12.75" customHeight="1" x14ac:dyDescent="0.2">
      <c r="C3395"/>
      <c r="M3395"/>
    </row>
    <row r="3396" spans="3:13" ht="12.75" customHeight="1" x14ac:dyDescent="0.2">
      <c r="C3396"/>
      <c r="M3396"/>
    </row>
    <row r="3397" spans="3:13" ht="12.75" customHeight="1" x14ac:dyDescent="0.2">
      <c r="C3397"/>
      <c r="M3397"/>
    </row>
    <row r="3398" spans="3:13" ht="12.75" customHeight="1" x14ac:dyDescent="0.2">
      <c r="C3398"/>
      <c r="M3398"/>
    </row>
    <row r="3399" spans="3:13" ht="12.75" customHeight="1" x14ac:dyDescent="0.2">
      <c r="C3399"/>
      <c r="M3399"/>
    </row>
    <row r="3400" spans="3:13" ht="12.75" customHeight="1" x14ac:dyDescent="0.2">
      <c r="C3400"/>
      <c r="M3400"/>
    </row>
    <row r="3401" spans="3:13" ht="12.75" customHeight="1" x14ac:dyDescent="0.2">
      <c r="C3401"/>
      <c r="M3401"/>
    </row>
    <row r="3402" spans="3:13" ht="12.75" customHeight="1" x14ac:dyDescent="0.2">
      <c r="C3402"/>
      <c r="M3402"/>
    </row>
    <row r="3403" spans="3:13" ht="12.75" customHeight="1" x14ac:dyDescent="0.2">
      <c r="C3403"/>
      <c r="M3403"/>
    </row>
    <row r="3404" spans="3:13" ht="12.75" customHeight="1" x14ac:dyDescent="0.2">
      <c r="C3404"/>
      <c r="M3404"/>
    </row>
    <row r="3405" spans="3:13" ht="12.75" customHeight="1" x14ac:dyDescent="0.2">
      <c r="C3405"/>
      <c r="M3405"/>
    </row>
    <row r="3406" spans="3:13" ht="12.75" customHeight="1" x14ac:dyDescent="0.2">
      <c r="C3406"/>
      <c r="M3406"/>
    </row>
    <row r="3407" spans="3:13" ht="12.75" customHeight="1" x14ac:dyDescent="0.2">
      <c r="C3407"/>
      <c r="M3407"/>
    </row>
    <row r="3408" spans="3:13" ht="12.75" customHeight="1" x14ac:dyDescent="0.2">
      <c r="C3408"/>
      <c r="M3408"/>
    </row>
    <row r="3409" spans="3:13" ht="12.75" customHeight="1" x14ac:dyDescent="0.2">
      <c r="C3409"/>
      <c r="M3409"/>
    </row>
    <row r="3410" spans="3:13" ht="12.75" customHeight="1" x14ac:dyDescent="0.2">
      <c r="C3410"/>
      <c r="M3410"/>
    </row>
    <row r="3411" spans="3:13" ht="12.75" customHeight="1" x14ac:dyDescent="0.2">
      <c r="C3411"/>
      <c r="M3411"/>
    </row>
    <row r="3412" spans="3:13" ht="12.75" customHeight="1" x14ac:dyDescent="0.2">
      <c r="C3412"/>
      <c r="M3412"/>
    </row>
    <row r="3413" spans="3:13" ht="12.75" customHeight="1" x14ac:dyDescent="0.2">
      <c r="C3413"/>
      <c r="M3413"/>
    </row>
    <row r="3414" spans="3:13" ht="12.75" customHeight="1" x14ac:dyDescent="0.2">
      <c r="C3414"/>
      <c r="M3414"/>
    </row>
    <row r="3415" spans="3:13" ht="12.75" customHeight="1" x14ac:dyDescent="0.2">
      <c r="C3415"/>
      <c r="M3415"/>
    </row>
    <row r="3416" spans="3:13" ht="12.75" customHeight="1" x14ac:dyDescent="0.2">
      <c r="C3416"/>
      <c r="M3416"/>
    </row>
    <row r="3417" spans="3:13" ht="12.75" customHeight="1" x14ac:dyDescent="0.2">
      <c r="C3417"/>
      <c r="M3417"/>
    </row>
    <row r="3418" spans="3:13" ht="12.75" customHeight="1" x14ac:dyDescent="0.2">
      <c r="C3418"/>
      <c r="M3418"/>
    </row>
    <row r="3419" spans="3:13" ht="12.75" customHeight="1" x14ac:dyDescent="0.2">
      <c r="C3419"/>
      <c r="M3419"/>
    </row>
    <row r="3420" spans="3:13" ht="12.75" customHeight="1" x14ac:dyDescent="0.2">
      <c r="C3420"/>
      <c r="M3420"/>
    </row>
    <row r="3421" spans="3:13" ht="12.75" customHeight="1" x14ac:dyDescent="0.2">
      <c r="C3421"/>
      <c r="M3421"/>
    </row>
    <row r="3422" spans="3:13" ht="12.75" customHeight="1" x14ac:dyDescent="0.2">
      <c r="C3422"/>
      <c r="M3422"/>
    </row>
    <row r="3423" spans="3:13" ht="12.75" customHeight="1" x14ac:dyDescent="0.2">
      <c r="C3423"/>
      <c r="M3423"/>
    </row>
    <row r="3424" spans="3:13" ht="12.75" customHeight="1" x14ac:dyDescent="0.2">
      <c r="C3424"/>
      <c r="M3424"/>
    </row>
    <row r="3425" spans="3:13" ht="12.75" customHeight="1" x14ac:dyDescent="0.2">
      <c r="C3425"/>
      <c r="M3425"/>
    </row>
    <row r="3426" spans="3:13" ht="12.75" customHeight="1" x14ac:dyDescent="0.2">
      <c r="C3426"/>
      <c r="M3426"/>
    </row>
    <row r="3427" spans="3:13" ht="12.75" customHeight="1" x14ac:dyDescent="0.2">
      <c r="C3427"/>
      <c r="M3427"/>
    </row>
    <row r="3428" spans="3:13" ht="12.75" customHeight="1" x14ac:dyDescent="0.2">
      <c r="C3428"/>
      <c r="M3428"/>
    </row>
    <row r="3429" spans="3:13" ht="12.75" customHeight="1" x14ac:dyDescent="0.2">
      <c r="C3429"/>
      <c r="M3429"/>
    </row>
    <row r="3430" spans="3:13" ht="12.75" customHeight="1" x14ac:dyDescent="0.2">
      <c r="C3430"/>
      <c r="M3430"/>
    </row>
    <row r="3431" spans="3:13" ht="12.75" customHeight="1" x14ac:dyDescent="0.2">
      <c r="C3431"/>
      <c r="M3431"/>
    </row>
    <row r="3432" spans="3:13" ht="12.75" customHeight="1" x14ac:dyDescent="0.2">
      <c r="C3432"/>
      <c r="M3432"/>
    </row>
    <row r="3433" spans="3:13" ht="12.75" customHeight="1" x14ac:dyDescent="0.2">
      <c r="C3433"/>
      <c r="M3433"/>
    </row>
    <row r="3434" spans="3:13" ht="12.75" customHeight="1" x14ac:dyDescent="0.2">
      <c r="C3434"/>
      <c r="M3434"/>
    </row>
    <row r="3435" spans="3:13" ht="12.75" customHeight="1" x14ac:dyDescent="0.2">
      <c r="C3435"/>
      <c r="M3435"/>
    </row>
    <row r="3436" spans="3:13" ht="12.75" customHeight="1" x14ac:dyDescent="0.2">
      <c r="C3436"/>
      <c r="M3436"/>
    </row>
    <row r="3437" spans="3:13" ht="12.75" customHeight="1" x14ac:dyDescent="0.2">
      <c r="C3437"/>
      <c r="M3437"/>
    </row>
    <row r="3438" spans="3:13" ht="12.75" customHeight="1" x14ac:dyDescent="0.2">
      <c r="C3438"/>
      <c r="M3438"/>
    </row>
    <row r="3439" spans="3:13" ht="12.75" customHeight="1" x14ac:dyDescent="0.2">
      <c r="C3439"/>
      <c r="M3439"/>
    </row>
    <row r="3440" spans="3:13" ht="12.75" customHeight="1" x14ac:dyDescent="0.2">
      <c r="C3440"/>
      <c r="M3440"/>
    </row>
    <row r="3441" spans="3:13" ht="12.75" customHeight="1" x14ac:dyDescent="0.2">
      <c r="C3441"/>
      <c r="M3441"/>
    </row>
    <row r="3442" spans="3:13" ht="12.75" customHeight="1" x14ac:dyDescent="0.2">
      <c r="C3442"/>
      <c r="M3442"/>
    </row>
    <row r="3443" spans="3:13" ht="12.75" customHeight="1" x14ac:dyDescent="0.2">
      <c r="C3443"/>
      <c r="M3443"/>
    </row>
    <row r="3444" spans="3:13" ht="12.75" customHeight="1" x14ac:dyDescent="0.2">
      <c r="C3444"/>
      <c r="M3444"/>
    </row>
    <row r="3445" spans="3:13" ht="12.75" customHeight="1" x14ac:dyDescent="0.2">
      <c r="C3445"/>
      <c r="M3445"/>
    </row>
    <row r="3446" spans="3:13" ht="12.75" customHeight="1" x14ac:dyDescent="0.2">
      <c r="C3446"/>
      <c r="M3446"/>
    </row>
    <row r="3447" spans="3:13" ht="12.75" customHeight="1" x14ac:dyDescent="0.2">
      <c r="C3447"/>
      <c r="M3447"/>
    </row>
    <row r="3448" spans="3:13" ht="12.75" customHeight="1" x14ac:dyDescent="0.2">
      <c r="C3448"/>
      <c r="M3448"/>
    </row>
    <row r="3449" spans="3:13" ht="12.75" customHeight="1" x14ac:dyDescent="0.2">
      <c r="C3449"/>
      <c r="M3449"/>
    </row>
    <row r="3450" spans="3:13" ht="12.75" customHeight="1" x14ac:dyDescent="0.2">
      <c r="C3450"/>
      <c r="M3450"/>
    </row>
    <row r="3451" spans="3:13" ht="12.75" customHeight="1" x14ac:dyDescent="0.2">
      <c r="C3451"/>
      <c r="M3451"/>
    </row>
    <row r="3452" spans="3:13" ht="12.75" customHeight="1" x14ac:dyDescent="0.2">
      <c r="C3452"/>
      <c r="M3452"/>
    </row>
    <row r="3453" spans="3:13" ht="12.75" customHeight="1" x14ac:dyDescent="0.2">
      <c r="C3453"/>
      <c r="M3453"/>
    </row>
    <row r="3454" spans="3:13" ht="12.75" customHeight="1" x14ac:dyDescent="0.2">
      <c r="C3454"/>
      <c r="M3454"/>
    </row>
    <row r="3455" spans="3:13" ht="12.75" customHeight="1" x14ac:dyDescent="0.2">
      <c r="C3455"/>
      <c r="M3455"/>
    </row>
    <row r="3456" spans="3:13" ht="12.75" customHeight="1" x14ac:dyDescent="0.2">
      <c r="C3456"/>
      <c r="M3456"/>
    </row>
    <row r="3457" spans="3:13" ht="12.75" customHeight="1" x14ac:dyDescent="0.2">
      <c r="C3457"/>
      <c r="M3457"/>
    </row>
    <row r="3458" spans="3:13" ht="12.75" customHeight="1" x14ac:dyDescent="0.2">
      <c r="C3458"/>
      <c r="M3458"/>
    </row>
    <row r="3459" spans="3:13" ht="12.75" customHeight="1" x14ac:dyDescent="0.2">
      <c r="C3459"/>
      <c r="M3459"/>
    </row>
    <row r="3460" spans="3:13" ht="12.75" customHeight="1" x14ac:dyDescent="0.2">
      <c r="C3460"/>
      <c r="M3460"/>
    </row>
    <row r="3461" spans="3:13" ht="12.75" customHeight="1" x14ac:dyDescent="0.2">
      <c r="C3461"/>
      <c r="M3461"/>
    </row>
    <row r="3462" spans="3:13" ht="12.75" customHeight="1" x14ac:dyDescent="0.2">
      <c r="C3462"/>
      <c r="M3462"/>
    </row>
    <row r="3463" spans="3:13" ht="12.75" customHeight="1" x14ac:dyDescent="0.2">
      <c r="C3463"/>
      <c r="M3463"/>
    </row>
    <row r="3464" spans="3:13" ht="12.75" customHeight="1" x14ac:dyDescent="0.2">
      <c r="C3464"/>
      <c r="M3464"/>
    </row>
    <row r="3465" spans="3:13" ht="12.75" customHeight="1" x14ac:dyDescent="0.2">
      <c r="C3465"/>
      <c r="M3465"/>
    </row>
    <row r="3466" spans="3:13" ht="12.75" customHeight="1" x14ac:dyDescent="0.2">
      <c r="C3466"/>
      <c r="M3466"/>
    </row>
    <row r="3467" spans="3:13" ht="12.75" customHeight="1" x14ac:dyDescent="0.2">
      <c r="C3467"/>
      <c r="M3467"/>
    </row>
    <row r="3468" spans="3:13" ht="12.75" customHeight="1" x14ac:dyDescent="0.2">
      <c r="C3468"/>
      <c r="M3468"/>
    </row>
    <row r="3469" spans="3:13" ht="12.75" customHeight="1" x14ac:dyDescent="0.2">
      <c r="C3469"/>
      <c r="M3469"/>
    </row>
    <row r="3470" spans="3:13" ht="12.75" customHeight="1" x14ac:dyDescent="0.2">
      <c r="C3470"/>
      <c r="M3470"/>
    </row>
    <row r="3471" spans="3:13" ht="12.75" customHeight="1" x14ac:dyDescent="0.2">
      <c r="C3471"/>
      <c r="M3471"/>
    </row>
    <row r="3472" spans="3:13" ht="12.75" customHeight="1" x14ac:dyDescent="0.2">
      <c r="C3472"/>
      <c r="M3472"/>
    </row>
    <row r="3473" spans="3:13" ht="12.75" customHeight="1" x14ac:dyDescent="0.2">
      <c r="C3473"/>
      <c r="M3473"/>
    </row>
    <row r="3474" spans="3:13" ht="12.75" customHeight="1" x14ac:dyDescent="0.2">
      <c r="C3474"/>
      <c r="M3474"/>
    </row>
    <row r="3475" spans="3:13" ht="12.75" customHeight="1" x14ac:dyDescent="0.2">
      <c r="C3475"/>
      <c r="M3475"/>
    </row>
    <row r="3476" spans="3:13" ht="12.75" customHeight="1" x14ac:dyDescent="0.2">
      <c r="C3476"/>
      <c r="M3476"/>
    </row>
    <row r="3477" spans="3:13" ht="12.75" customHeight="1" x14ac:dyDescent="0.2">
      <c r="C3477"/>
      <c r="M3477"/>
    </row>
    <row r="3478" spans="3:13" ht="12.75" customHeight="1" x14ac:dyDescent="0.2">
      <c r="C3478"/>
      <c r="M3478"/>
    </row>
    <row r="3479" spans="3:13" ht="12.75" customHeight="1" x14ac:dyDescent="0.2">
      <c r="C3479"/>
      <c r="M3479"/>
    </row>
    <row r="3480" spans="3:13" ht="12.75" customHeight="1" x14ac:dyDescent="0.2">
      <c r="C3480"/>
      <c r="M3480"/>
    </row>
    <row r="3481" spans="3:13" ht="12.75" customHeight="1" x14ac:dyDescent="0.2">
      <c r="C3481"/>
      <c r="M3481"/>
    </row>
    <row r="3482" spans="3:13" ht="12.75" customHeight="1" x14ac:dyDescent="0.2">
      <c r="C3482"/>
      <c r="M3482"/>
    </row>
    <row r="3483" spans="3:13" ht="12.75" customHeight="1" x14ac:dyDescent="0.2">
      <c r="C3483"/>
      <c r="M3483"/>
    </row>
    <row r="3484" spans="3:13" ht="12.75" customHeight="1" x14ac:dyDescent="0.2">
      <c r="C3484"/>
      <c r="M3484"/>
    </row>
    <row r="3485" spans="3:13" ht="12.75" customHeight="1" x14ac:dyDescent="0.2">
      <c r="C3485"/>
      <c r="M3485"/>
    </row>
    <row r="3486" spans="3:13" ht="12.75" customHeight="1" x14ac:dyDescent="0.2">
      <c r="C3486"/>
      <c r="M3486"/>
    </row>
    <row r="3487" spans="3:13" ht="12.75" customHeight="1" x14ac:dyDescent="0.2">
      <c r="C3487"/>
      <c r="M3487"/>
    </row>
    <row r="3488" spans="3:13" ht="12.75" customHeight="1" x14ac:dyDescent="0.2">
      <c r="C3488"/>
      <c r="M3488"/>
    </row>
    <row r="3489" spans="3:13" ht="12.75" customHeight="1" x14ac:dyDescent="0.2">
      <c r="C3489"/>
      <c r="M3489"/>
    </row>
    <row r="3490" spans="3:13" ht="12.75" customHeight="1" x14ac:dyDescent="0.2">
      <c r="C3490"/>
      <c r="M3490"/>
    </row>
    <row r="3491" spans="3:13" ht="12.75" customHeight="1" x14ac:dyDescent="0.2">
      <c r="C3491"/>
      <c r="M3491"/>
    </row>
    <row r="3492" spans="3:13" ht="12.75" customHeight="1" x14ac:dyDescent="0.2">
      <c r="C3492"/>
      <c r="M3492"/>
    </row>
    <row r="3493" spans="3:13" ht="12.75" customHeight="1" x14ac:dyDescent="0.2">
      <c r="C3493"/>
      <c r="M3493"/>
    </row>
    <row r="3494" spans="3:13" ht="12.75" customHeight="1" x14ac:dyDescent="0.2">
      <c r="C3494"/>
      <c r="M3494"/>
    </row>
    <row r="3495" spans="3:13" ht="12.75" customHeight="1" x14ac:dyDescent="0.2">
      <c r="C3495"/>
      <c r="M3495"/>
    </row>
    <row r="3496" spans="3:13" ht="12.75" customHeight="1" x14ac:dyDescent="0.2">
      <c r="C3496"/>
      <c r="M3496"/>
    </row>
    <row r="3497" spans="3:13" ht="12.75" customHeight="1" x14ac:dyDescent="0.2">
      <c r="C3497"/>
      <c r="M3497"/>
    </row>
    <row r="3498" spans="3:13" ht="12.75" customHeight="1" x14ac:dyDescent="0.2">
      <c r="C3498"/>
      <c r="M3498"/>
    </row>
    <row r="3499" spans="3:13" ht="12.75" customHeight="1" x14ac:dyDescent="0.2">
      <c r="C3499"/>
      <c r="M3499"/>
    </row>
    <row r="3500" spans="3:13" ht="12.75" customHeight="1" x14ac:dyDescent="0.2">
      <c r="C3500"/>
      <c r="M3500"/>
    </row>
    <row r="3501" spans="3:13" ht="12.75" customHeight="1" x14ac:dyDescent="0.2">
      <c r="C3501"/>
      <c r="M3501"/>
    </row>
    <row r="3502" spans="3:13" ht="12.75" customHeight="1" x14ac:dyDescent="0.2">
      <c r="C3502"/>
      <c r="M3502"/>
    </row>
    <row r="3503" spans="3:13" ht="12.75" customHeight="1" x14ac:dyDescent="0.2">
      <c r="C3503"/>
      <c r="M3503"/>
    </row>
    <row r="3504" spans="3:13" ht="12.75" customHeight="1" x14ac:dyDescent="0.2">
      <c r="C3504"/>
      <c r="M3504"/>
    </row>
    <row r="3505" spans="3:13" ht="12.75" customHeight="1" x14ac:dyDescent="0.2">
      <c r="C3505"/>
      <c r="M3505"/>
    </row>
    <row r="3506" spans="3:13" ht="12.75" customHeight="1" x14ac:dyDescent="0.2">
      <c r="C3506"/>
      <c r="M3506"/>
    </row>
    <row r="3507" spans="3:13" ht="12.75" customHeight="1" x14ac:dyDescent="0.2">
      <c r="C3507"/>
      <c r="M3507"/>
    </row>
    <row r="3508" spans="3:13" ht="12.75" customHeight="1" x14ac:dyDescent="0.2">
      <c r="C3508"/>
      <c r="M3508"/>
    </row>
    <row r="3509" spans="3:13" ht="12.75" customHeight="1" x14ac:dyDescent="0.2">
      <c r="C3509"/>
      <c r="M3509"/>
    </row>
    <row r="3510" spans="3:13" ht="12.75" customHeight="1" x14ac:dyDescent="0.2">
      <c r="C3510"/>
      <c r="M3510"/>
    </row>
    <row r="3511" spans="3:13" ht="12.75" customHeight="1" x14ac:dyDescent="0.2">
      <c r="C3511"/>
      <c r="M3511"/>
    </row>
    <row r="3512" spans="3:13" ht="12.75" customHeight="1" x14ac:dyDescent="0.2">
      <c r="C3512"/>
      <c r="M3512"/>
    </row>
    <row r="3513" spans="3:13" ht="12.75" customHeight="1" x14ac:dyDescent="0.2">
      <c r="C3513"/>
      <c r="M3513"/>
    </row>
    <row r="3514" spans="3:13" ht="12.75" customHeight="1" x14ac:dyDescent="0.2">
      <c r="C3514"/>
      <c r="M3514"/>
    </row>
    <row r="3515" spans="3:13" ht="12.75" customHeight="1" x14ac:dyDescent="0.2">
      <c r="C3515"/>
      <c r="M3515"/>
    </row>
    <row r="3516" spans="3:13" ht="12.75" customHeight="1" x14ac:dyDescent="0.2">
      <c r="C3516"/>
      <c r="M3516"/>
    </row>
    <row r="3517" spans="3:13" ht="12.75" customHeight="1" x14ac:dyDescent="0.2">
      <c r="C3517"/>
      <c r="M3517"/>
    </row>
    <row r="3518" spans="3:13" ht="12.75" customHeight="1" x14ac:dyDescent="0.2">
      <c r="C3518"/>
      <c r="M3518"/>
    </row>
    <row r="3519" spans="3:13" ht="12.75" customHeight="1" x14ac:dyDescent="0.2">
      <c r="C3519"/>
      <c r="M3519"/>
    </row>
    <row r="3520" spans="3:13" ht="12.75" customHeight="1" x14ac:dyDescent="0.2">
      <c r="C3520"/>
      <c r="M3520"/>
    </row>
    <row r="3521" spans="3:13" ht="12.75" customHeight="1" x14ac:dyDescent="0.2">
      <c r="C3521"/>
      <c r="M3521"/>
    </row>
    <row r="3522" spans="3:13" ht="12.75" customHeight="1" x14ac:dyDescent="0.2">
      <c r="C3522"/>
      <c r="M3522"/>
    </row>
    <row r="3523" spans="3:13" ht="12.75" customHeight="1" x14ac:dyDescent="0.2">
      <c r="C3523"/>
      <c r="M3523"/>
    </row>
    <row r="3524" spans="3:13" ht="12.75" customHeight="1" x14ac:dyDescent="0.2">
      <c r="C3524"/>
      <c r="M3524"/>
    </row>
    <row r="3525" spans="3:13" ht="12.75" customHeight="1" x14ac:dyDescent="0.2">
      <c r="C3525"/>
      <c r="M3525"/>
    </row>
    <row r="3526" spans="3:13" ht="12.75" customHeight="1" x14ac:dyDescent="0.2">
      <c r="C3526"/>
      <c r="M3526"/>
    </row>
    <row r="3527" spans="3:13" ht="12.75" customHeight="1" x14ac:dyDescent="0.2">
      <c r="C3527"/>
      <c r="M3527"/>
    </row>
    <row r="3528" spans="3:13" ht="12.75" customHeight="1" x14ac:dyDescent="0.2">
      <c r="C3528"/>
      <c r="M3528"/>
    </row>
    <row r="3529" spans="3:13" ht="12.75" customHeight="1" x14ac:dyDescent="0.2">
      <c r="C3529"/>
      <c r="M3529"/>
    </row>
    <row r="3530" spans="3:13" ht="12.75" customHeight="1" x14ac:dyDescent="0.2">
      <c r="C3530"/>
      <c r="M3530"/>
    </row>
    <row r="3531" spans="3:13" ht="12.75" customHeight="1" x14ac:dyDescent="0.2">
      <c r="C3531"/>
      <c r="M3531"/>
    </row>
    <row r="3532" spans="3:13" ht="12.75" customHeight="1" x14ac:dyDescent="0.2">
      <c r="C3532"/>
      <c r="M3532"/>
    </row>
    <row r="3533" spans="3:13" ht="12.75" customHeight="1" x14ac:dyDescent="0.2">
      <c r="C3533"/>
      <c r="M3533"/>
    </row>
    <row r="3534" spans="3:13" ht="12.75" customHeight="1" x14ac:dyDescent="0.2">
      <c r="C3534"/>
      <c r="M3534"/>
    </row>
    <row r="3535" spans="3:13" ht="12.75" customHeight="1" x14ac:dyDescent="0.2">
      <c r="C3535"/>
      <c r="M3535"/>
    </row>
    <row r="3536" spans="3:13" ht="12.75" customHeight="1" x14ac:dyDescent="0.2">
      <c r="C3536"/>
      <c r="M3536"/>
    </row>
    <row r="3537" spans="3:13" ht="12.75" customHeight="1" x14ac:dyDescent="0.2">
      <c r="C3537"/>
      <c r="M3537"/>
    </row>
    <row r="3538" spans="3:13" ht="12.75" customHeight="1" x14ac:dyDescent="0.2">
      <c r="C3538"/>
      <c r="M3538"/>
    </row>
    <row r="3539" spans="3:13" ht="12.75" customHeight="1" x14ac:dyDescent="0.2">
      <c r="C3539"/>
      <c r="M3539"/>
    </row>
    <row r="3540" spans="3:13" ht="12.75" customHeight="1" x14ac:dyDescent="0.2">
      <c r="C3540"/>
      <c r="M3540"/>
    </row>
    <row r="3541" spans="3:13" ht="12.75" customHeight="1" x14ac:dyDescent="0.2">
      <c r="C3541"/>
      <c r="M3541"/>
    </row>
    <row r="3542" spans="3:13" ht="12.75" customHeight="1" x14ac:dyDescent="0.2">
      <c r="C3542"/>
      <c r="M3542"/>
    </row>
    <row r="3543" spans="3:13" ht="12.75" customHeight="1" x14ac:dyDescent="0.2">
      <c r="C3543"/>
      <c r="M3543"/>
    </row>
    <row r="3544" spans="3:13" ht="12.75" customHeight="1" x14ac:dyDescent="0.2">
      <c r="C3544"/>
      <c r="M3544"/>
    </row>
    <row r="3545" spans="3:13" ht="12.75" customHeight="1" x14ac:dyDescent="0.2">
      <c r="C3545"/>
      <c r="M3545"/>
    </row>
    <row r="3546" spans="3:13" ht="12.75" customHeight="1" x14ac:dyDescent="0.2">
      <c r="C3546"/>
      <c r="M3546"/>
    </row>
    <row r="3547" spans="3:13" ht="12.75" customHeight="1" x14ac:dyDescent="0.2">
      <c r="C3547"/>
      <c r="M3547"/>
    </row>
    <row r="3548" spans="3:13" ht="12.75" customHeight="1" x14ac:dyDescent="0.2">
      <c r="C3548"/>
      <c r="M3548"/>
    </row>
    <row r="3549" spans="3:13" ht="12.75" customHeight="1" x14ac:dyDescent="0.2">
      <c r="C3549"/>
      <c r="M3549"/>
    </row>
    <row r="3550" spans="3:13" ht="12.75" customHeight="1" x14ac:dyDescent="0.2">
      <c r="C3550"/>
      <c r="M3550"/>
    </row>
    <row r="3551" spans="3:13" ht="12.75" customHeight="1" x14ac:dyDescent="0.2">
      <c r="C3551"/>
      <c r="M3551"/>
    </row>
    <row r="3552" spans="3:13" ht="12.75" customHeight="1" x14ac:dyDescent="0.2">
      <c r="C3552"/>
      <c r="M3552"/>
    </row>
    <row r="3553" spans="3:13" ht="12.75" customHeight="1" x14ac:dyDescent="0.2">
      <c r="C3553"/>
      <c r="M3553"/>
    </row>
    <row r="3554" spans="3:13" ht="12.75" customHeight="1" x14ac:dyDescent="0.2">
      <c r="C3554"/>
      <c r="M3554"/>
    </row>
    <row r="3555" spans="3:13" ht="12.75" customHeight="1" x14ac:dyDescent="0.2">
      <c r="C3555"/>
      <c r="M3555"/>
    </row>
    <row r="3556" spans="3:13" ht="12.75" customHeight="1" x14ac:dyDescent="0.2">
      <c r="C3556"/>
      <c r="M3556"/>
    </row>
    <row r="3557" spans="3:13" ht="12.75" customHeight="1" x14ac:dyDescent="0.2">
      <c r="C3557"/>
      <c r="M3557"/>
    </row>
    <row r="3558" spans="3:13" ht="12.75" customHeight="1" x14ac:dyDescent="0.2">
      <c r="C3558"/>
      <c r="M3558"/>
    </row>
    <row r="3559" spans="3:13" ht="12.75" customHeight="1" x14ac:dyDescent="0.2">
      <c r="C3559"/>
      <c r="M3559"/>
    </row>
    <row r="3560" spans="3:13" ht="12.75" customHeight="1" x14ac:dyDescent="0.2">
      <c r="C3560"/>
      <c r="M3560"/>
    </row>
    <row r="3561" spans="3:13" ht="12.75" customHeight="1" x14ac:dyDescent="0.2">
      <c r="C3561"/>
      <c r="M3561"/>
    </row>
    <row r="3562" spans="3:13" ht="12.75" customHeight="1" x14ac:dyDescent="0.2">
      <c r="C3562"/>
      <c r="M3562"/>
    </row>
    <row r="3563" spans="3:13" ht="12.75" customHeight="1" x14ac:dyDescent="0.2">
      <c r="C3563"/>
      <c r="M3563"/>
    </row>
    <row r="3564" spans="3:13" ht="12.75" customHeight="1" x14ac:dyDescent="0.2">
      <c r="C3564"/>
      <c r="M3564"/>
    </row>
    <row r="3565" spans="3:13" ht="12.75" customHeight="1" x14ac:dyDescent="0.2">
      <c r="C3565"/>
      <c r="M3565"/>
    </row>
    <row r="3566" spans="3:13" ht="12.75" customHeight="1" x14ac:dyDescent="0.2">
      <c r="C3566"/>
      <c r="M3566"/>
    </row>
    <row r="3567" spans="3:13" ht="12.75" customHeight="1" x14ac:dyDescent="0.2">
      <c r="C3567"/>
      <c r="M3567"/>
    </row>
    <row r="3568" spans="3:13" ht="12.75" customHeight="1" x14ac:dyDescent="0.2">
      <c r="C3568"/>
      <c r="M3568"/>
    </row>
    <row r="3569" spans="3:13" ht="12.75" customHeight="1" x14ac:dyDescent="0.2">
      <c r="C3569"/>
      <c r="M3569"/>
    </row>
    <row r="3570" spans="3:13" ht="12.75" customHeight="1" x14ac:dyDescent="0.2">
      <c r="C3570"/>
      <c r="M3570"/>
    </row>
    <row r="3571" spans="3:13" ht="12.75" customHeight="1" x14ac:dyDescent="0.2">
      <c r="C3571"/>
      <c r="M3571"/>
    </row>
    <row r="3572" spans="3:13" ht="12.75" customHeight="1" x14ac:dyDescent="0.2">
      <c r="C3572"/>
      <c r="M3572"/>
    </row>
    <row r="3573" spans="3:13" ht="12.75" customHeight="1" x14ac:dyDescent="0.2">
      <c r="C3573"/>
      <c r="M3573"/>
    </row>
    <row r="3574" spans="3:13" ht="12.75" customHeight="1" x14ac:dyDescent="0.2">
      <c r="C3574"/>
      <c r="M3574"/>
    </row>
    <row r="3575" spans="3:13" ht="12.75" customHeight="1" x14ac:dyDescent="0.2">
      <c r="C3575"/>
      <c r="M3575"/>
    </row>
    <row r="3576" spans="3:13" ht="12.75" customHeight="1" x14ac:dyDescent="0.2">
      <c r="C3576"/>
      <c r="M3576"/>
    </row>
    <row r="3577" spans="3:13" ht="12.75" customHeight="1" x14ac:dyDescent="0.2">
      <c r="C3577"/>
      <c r="M3577"/>
    </row>
    <row r="3578" spans="3:13" ht="12.75" customHeight="1" x14ac:dyDescent="0.2">
      <c r="C3578"/>
      <c r="M3578"/>
    </row>
    <row r="3579" spans="3:13" ht="12.75" customHeight="1" x14ac:dyDescent="0.2">
      <c r="C3579"/>
      <c r="M3579"/>
    </row>
    <row r="3580" spans="3:13" ht="12.75" customHeight="1" x14ac:dyDescent="0.2">
      <c r="C3580"/>
      <c r="M3580"/>
    </row>
    <row r="3581" spans="3:13" ht="12.75" customHeight="1" x14ac:dyDescent="0.2">
      <c r="C3581"/>
      <c r="M3581"/>
    </row>
    <row r="3582" spans="3:13" ht="12.75" customHeight="1" x14ac:dyDescent="0.2">
      <c r="C3582"/>
      <c r="M3582"/>
    </row>
    <row r="3583" spans="3:13" ht="12.75" customHeight="1" x14ac:dyDescent="0.2">
      <c r="C3583"/>
      <c r="M3583"/>
    </row>
    <row r="3584" spans="3:13" ht="12.75" customHeight="1" x14ac:dyDescent="0.2">
      <c r="C3584"/>
      <c r="M3584"/>
    </row>
    <row r="3585" spans="3:13" ht="12.75" customHeight="1" x14ac:dyDescent="0.2">
      <c r="C3585"/>
      <c r="M3585"/>
    </row>
    <row r="3586" spans="3:13" ht="12.75" customHeight="1" x14ac:dyDescent="0.2">
      <c r="C3586"/>
      <c r="M3586"/>
    </row>
    <row r="3587" spans="3:13" ht="12.75" customHeight="1" x14ac:dyDescent="0.2">
      <c r="C3587"/>
      <c r="M3587"/>
    </row>
    <row r="3588" spans="3:13" ht="12.75" customHeight="1" x14ac:dyDescent="0.2">
      <c r="C3588"/>
      <c r="M3588"/>
    </row>
    <row r="3589" spans="3:13" ht="12.75" customHeight="1" x14ac:dyDescent="0.2">
      <c r="C3589"/>
      <c r="M3589"/>
    </row>
    <row r="3590" spans="3:13" ht="12.75" customHeight="1" x14ac:dyDescent="0.2">
      <c r="C3590"/>
      <c r="M3590"/>
    </row>
    <row r="3591" spans="3:13" ht="12.75" customHeight="1" x14ac:dyDescent="0.2">
      <c r="C3591"/>
      <c r="M3591"/>
    </row>
    <row r="3592" spans="3:13" ht="12.75" customHeight="1" x14ac:dyDescent="0.2">
      <c r="C3592"/>
      <c r="M3592"/>
    </row>
    <row r="3593" spans="3:13" ht="12.75" customHeight="1" x14ac:dyDescent="0.2">
      <c r="C3593"/>
      <c r="M3593"/>
    </row>
    <row r="3594" spans="3:13" ht="12.75" customHeight="1" x14ac:dyDescent="0.2">
      <c r="C3594"/>
      <c r="M3594"/>
    </row>
    <row r="3595" spans="3:13" ht="12.75" customHeight="1" x14ac:dyDescent="0.2">
      <c r="C3595"/>
      <c r="M3595"/>
    </row>
    <row r="3596" spans="3:13" ht="12.75" customHeight="1" x14ac:dyDescent="0.2">
      <c r="C3596"/>
      <c r="M3596"/>
    </row>
    <row r="3597" spans="3:13" ht="12.75" customHeight="1" x14ac:dyDescent="0.2">
      <c r="C3597"/>
      <c r="M3597"/>
    </row>
    <row r="3598" spans="3:13" ht="12.75" customHeight="1" x14ac:dyDescent="0.2">
      <c r="C3598"/>
      <c r="M3598"/>
    </row>
    <row r="3599" spans="3:13" ht="12.75" customHeight="1" x14ac:dyDescent="0.2">
      <c r="C3599"/>
      <c r="M3599"/>
    </row>
    <row r="3600" spans="3:13" ht="12.75" customHeight="1" x14ac:dyDescent="0.2">
      <c r="C3600"/>
      <c r="M3600"/>
    </row>
    <row r="3601" spans="3:13" ht="12.75" customHeight="1" x14ac:dyDescent="0.2">
      <c r="C3601"/>
      <c r="M3601"/>
    </row>
    <row r="3602" spans="3:13" ht="12.75" customHeight="1" x14ac:dyDescent="0.2">
      <c r="C3602"/>
      <c r="M3602"/>
    </row>
    <row r="3603" spans="3:13" ht="12.75" customHeight="1" x14ac:dyDescent="0.2">
      <c r="C3603"/>
      <c r="M3603"/>
    </row>
    <row r="3604" spans="3:13" ht="12.75" customHeight="1" x14ac:dyDescent="0.2">
      <c r="C3604"/>
      <c r="M3604"/>
    </row>
    <row r="3605" spans="3:13" ht="12.75" customHeight="1" x14ac:dyDescent="0.2">
      <c r="C3605"/>
      <c r="M3605"/>
    </row>
    <row r="3606" spans="3:13" ht="12.75" customHeight="1" x14ac:dyDescent="0.2">
      <c r="C3606"/>
      <c r="M3606"/>
    </row>
    <row r="3607" spans="3:13" ht="12.75" customHeight="1" x14ac:dyDescent="0.2">
      <c r="C3607"/>
      <c r="M3607"/>
    </row>
    <row r="3608" spans="3:13" ht="12.75" customHeight="1" x14ac:dyDescent="0.2">
      <c r="C3608"/>
      <c r="M3608"/>
    </row>
    <row r="3609" spans="3:13" ht="12.75" customHeight="1" x14ac:dyDescent="0.2">
      <c r="C3609"/>
      <c r="M3609"/>
    </row>
    <row r="3610" spans="3:13" ht="12.75" customHeight="1" x14ac:dyDescent="0.2">
      <c r="C3610"/>
      <c r="M3610"/>
    </row>
    <row r="3611" spans="3:13" ht="12.75" customHeight="1" x14ac:dyDescent="0.2">
      <c r="C3611"/>
      <c r="M3611"/>
    </row>
    <row r="3612" spans="3:13" ht="12.75" customHeight="1" x14ac:dyDescent="0.2">
      <c r="C3612"/>
      <c r="M3612"/>
    </row>
    <row r="3613" spans="3:13" ht="12.75" customHeight="1" x14ac:dyDescent="0.2">
      <c r="C3613"/>
      <c r="M3613"/>
    </row>
    <row r="3614" spans="3:13" ht="12.75" customHeight="1" x14ac:dyDescent="0.2">
      <c r="C3614"/>
      <c r="M3614"/>
    </row>
    <row r="3615" spans="3:13" ht="12.75" customHeight="1" x14ac:dyDescent="0.2">
      <c r="C3615"/>
      <c r="M3615"/>
    </row>
    <row r="3616" spans="3:13" ht="12.75" customHeight="1" x14ac:dyDescent="0.2">
      <c r="C3616"/>
      <c r="M3616"/>
    </row>
    <row r="3617" spans="3:13" ht="12.75" customHeight="1" x14ac:dyDescent="0.2">
      <c r="C3617"/>
      <c r="M3617"/>
    </row>
    <row r="3618" spans="3:13" ht="12.75" customHeight="1" x14ac:dyDescent="0.2">
      <c r="C3618"/>
      <c r="M3618"/>
    </row>
    <row r="3619" spans="3:13" ht="12.75" customHeight="1" x14ac:dyDescent="0.2">
      <c r="C3619"/>
      <c r="M3619"/>
    </row>
    <row r="3620" spans="3:13" ht="12.75" customHeight="1" x14ac:dyDescent="0.2">
      <c r="C3620"/>
      <c r="M3620"/>
    </row>
    <row r="3621" spans="3:13" ht="12.75" customHeight="1" x14ac:dyDescent="0.2">
      <c r="C3621"/>
      <c r="M3621"/>
    </row>
    <row r="3622" spans="3:13" ht="12.75" customHeight="1" x14ac:dyDescent="0.2">
      <c r="C3622"/>
      <c r="M3622"/>
    </row>
    <row r="3623" spans="3:13" ht="12.75" customHeight="1" x14ac:dyDescent="0.2">
      <c r="C3623"/>
      <c r="M3623"/>
    </row>
    <row r="3624" spans="3:13" ht="12.75" customHeight="1" x14ac:dyDescent="0.2">
      <c r="C3624"/>
      <c r="M3624"/>
    </row>
    <row r="3625" spans="3:13" ht="12.75" customHeight="1" x14ac:dyDescent="0.2">
      <c r="C3625"/>
      <c r="M3625"/>
    </row>
    <row r="3626" spans="3:13" ht="12.75" customHeight="1" x14ac:dyDescent="0.2">
      <c r="C3626"/>
      <c r="M3626"/>
    </row>
    <row r="3627" spans="3:13" ht="12.75" customHeight="1" x14ac:dyDescent="0.2">
      <c r="C3627"/>
      <c r="M3627"/>
    </row>
    <row r="3628" spans="3:13" ht="12.75" customHeight="1" x14ac:dyDescent="0.2">
      <c r="C3628"/>
      <c r="M3628"/>
    </row>
    <row r="3629" spans="3:13" ht="12.75" customHeight="1" x14ac:dyDescent="0.2">
      <c r="C3629"/>
      <c r="M3629"/>
    </row>
    <row r="3630" spans="3:13" ht="12.75" customHeight="1" x14ac:dyDescent="0.2">
      <c r="C3630"/>
      <c r="M3630"/>
    </row>
    <row r="3631" spans="3:13" ht="12.75" customHeight="1" x14ac:dyDescent="0.2">
      <c r="C3631"/>
      <c r="M3631"/>
    </row>
    <row r="3632" spans="3:13" ht="12.75" customHeight="1" x14ac:dyDescent="0.2">
      <c r="C3632"/>
      <c r="M3632"/>
    </row>
    <row r="3633" spans="3:13" ht="12.75" customHeight="1" x14ac:dyDescent="0.2">
      <c r="C3633"/>
      <c r="M3633"/>
    </row>
    <row r="3634" spans="3:13" ht="12.75" customHeight="1" x14ac:dyDescent="0.2">
      <c r="C3634"/>
      <c r="M3634"/>
    </row>
    <row r="3635" spans="3:13" ht="12.75" customHeight="1" x14ac:dyDescent="0.2">
      <c r="C3635"/>
      <c r="M3635"/>
    </row>
    <row r="3636" spans="3:13" ht="12.75" customHeight="1" x14ac:dyDescent="0.2">
      <c r="C3636"/>
      <c r="M3636"/>
    </row>
    <row r="3637" spans="3:13" ht="12.75" customHeight="1" x14ac:dyDescent="0.2">
      <c r="C3637"/>
      <c r="M3637"/>
    </row>
    <row r="3638" spans="3:13" ht="12.75" customHeight="1" x14ac:dyDescent="0.2">
      <c r="C3638"/>
      <c r="M3638"/>
    </row>
    <row r="3639" spans="3:13" ht="12.75" customHeight="1" x14ac:dyDescent="0.2">
      <c r="C3639"/>
      <c r="M3639"/>
    </row>
    <row r="3640" spans="3:13" ht="12.75" customHeight="1" x14ac:dyDescent="0.2">
      <c r="C3640"/>
      <c r="M3640"/>
    </row>
    <row r="3641" spans="3:13" ht="12.75" customHeight="1" x14ac:dyDescent="0.2">
      <c r="C3641"/>
      <c r="M3641"/>
    </row>
    <row r="3642" spans="3:13" ht="12.75" customHeight="1" x14ac:dyDescent="0.2">
      <c r="C3642"/>
      <c r="M3642"/>
    </row>
    <row r="3643" spans="3:13" ht="12.75" customHeight="1" x14ac:dyDescent="0.2">
      <c r="C3643"/>
      <c r="M3643"/>
    </row>
    <row r="3644" spans="3:13" ht="12.75" customHeight="1" x14ac:dyDescent="0.2">
      <c r="C3644"/>
      <c r="M3644"/>
    </row>
    <row r="3645" spans="3:13" ht="12.75" customHeight="1" x14ac:dyDescent="0.2">
      <c r="C3645"/>
      <c r="M3645"/>
    </row>
    <row r="3646" spans="3:13" ht="12.75" customHeight="1" x14ac:dyDescent="0.2">
      <c r="C3646"/>
      <c r="M3646"/>
    </row>
    <row r="3647" spans="3:13" ht="12.75" customHeight="1" x14ac:dyDescent="0.2">
      <c r="C3647"/>
      <c r="M3647"/>
    </row>
    <row r="3648" spans="3:13" ht="12.75" customHeight="1" x14ac:dyDescent="0.2">
      <c r="C3648"/>
      <c r="M3648"/>
    </row>
    <row r="3649" spans="3:13" ht="12.75" customHeight="1" x14ac:dyDescent="0.2">
      <c r="C3649"/>
      <c r="M3649"/>
    </row>
    <row r="3650" spans="3:13" ht="12.75" customHeight="1" x14ac:dyDescent="0.2">
      <c r="C3650"/>
      <c r="M3650"/>
    </row>
    <row r="3651" spans="3:13" ht="12.75" customHeight="1" x14ac:dyDescent="0.2">
      <c r="C3651"/>
      <c r="M3651"/>
    </row>
    <row r="3652" spans="3:13" ht="12.75" customHeight="1" x14ac:dyDescent="0.2">
      <c r="C3652"/>
      <c r="M3652"/>
    </row>
    <row r="3653" spans="3:13" ht="12.75" customHeight="1" x14ac:dyDescent="0.2">
      <c r="C3653"/>
      <c r="M3653"/>
    </row>
    <row r="3654" spans="3:13" ht="12.75" customHeight="1" x14ac:dyDescent="0.2">
      <c r="C3654"/>
      <c r="M3654"/>
    </row>
    <row r="3655" spans="3:13" ht="12.75" customHeight="1" x14ac:dyDescent="0.2">
      <c r="C3655"/>
      <c r="M3655"/>
    </row>
    <row r="3656" spans="3:13" ht="12.75" customHeight="1" x14ac:dyDescent="0.2">
      <c r="C3656"/>
      <c r="M3656"/>
    </row>
    <row r="3657" spans="3:13" ht="12.75" customHeight="1" x14ac:dyDescent="0.2">
      <c r="C3657"/>
      <c r="M3657"/>
    </row>
    <row r="3658" spans="3:13" ht="12.75" customHeight="1" x14ac:dyDescent="0.2">
      <c r="C3658"/>
      <c r="M3658"/>
    </row>
    <row r="3659" spans="3:13" ht="12.75" customHeight="1" x14ac:dyDescent="0.2">
      <c r="C3659"/>
      <c r="M3659"/>
    </row>
    <row r="3660" spans="3:13" ht="12.75" customHeight="1" x14ac:dyDescent="0.2">
      <c r="C3660"/>
      <c r="M3660"/>
    </row>
    <row r="3661" spans="3:13" ht="12.75" customHeight="1" x14ac:dyDescent="0.2">
      <c r="C3661"/>
      <c r="M3661"/>
    </row>
    <row r="3662" spans="3:13" ht="12.75" customHeight="1" x14ac:dyDescent="0.2">
      <c r="C3662"/>
      <c r="M3662"/>
    </row>
    <row r="3663" spans="3:13" ht="12.75" customHeight="1" x14ac:dyDescent="0.2">
      <c r="C3663"/>
      <c r="M3663"/>
    </row>
    <row r="3664" spans="3:13" ht="12.75" customHeight="1" x14ac:dyDescent="0.2">
      <c r="C3664"/>
      <c r="M3664"/>
    </row>
    <row r="3665" spans="3:13" ht="12.75" customHeight="1" x14ac:dyDescent="0.2">
      <c r="C3665"/>
      <c r="M3665"/>
    </row>
    <row r="3666" spans="3:13" ht="12.75" customHeight="1" x14ac:dyDescent="0.2">
      <c r="C3666"/>
      <c r="M3666"/>
    </row>
    <row r="3667" spans="3:13" ht="12.75" customHeight="1" x14ac:dyDescent="0.2">
      <c r="C3667"/>
      <c r="M3667"/>
    </row>
    <row r="3668" spans="3:13" ht="12.75" customHeight="1" x14ac:dyDescent="0.2">
      <c r="C3668"/>
      <c r="M3668"/>
    </row>
    <row r="3669" spans="3:13" ht="12.75" customHeight="1" x14ac:dyDescent="0.2">
      <c r="C3669"/>
      <c r="M3669"/>
    </row>
    <row r="3670" spans="3:13" ht="12.75" customHeight="1" x14ac:dyDescent="0.2">
      <c r="C3670"/>
      <c r="M3670"/>
    </row>
    <row r="3671" spans="3:13" ht="12.75" customHeight="1" x14ac:dyDescent="0.2">
      <c r="C3671"/>
      <c r="M3671"/>
    </row>
    <row r="3672" spans="3:13" ht="12.75" customHeight="1" x14ac:dyDescent="0.2">
      <c r="C3672"/>
      <c r="M3672"/>
    </row>
    <row r="3673" spans="3:13" ht="12.75" customHeight="1" x14ac:dyDescent="0.2">
      <c r="C3673"/>
      <c r="M3673"/>
    </row>
    <row r="3674" spans="3:13" ht="12.75" customHeight="1" x14ac:dyDescent="0.2">
      <c r="C3674"/>
      <c r="M3674"/>
    </row>
    <row r="3675" spans="3:13" ht="12.75" customHeight="1" x14ac:dyDescent="0.2">
      <c r="C3675"/>
      <c r="M3675"/>
    </row>
    <row r="3676" spans="3:13" ht="12.75" customHeight="1" x14ac:dyDescent="0.2">
      <c r="C3676"/>
      <c r="M3676"/>
    </row>
    <row r="3677" spans="3:13" ht="12.75" customHeight="1" x14ac:dyDescent="0.2">
      <c r="C3677"/>
      <c r="M3677"/>
    </row>
    <row r="3678" spans="3:13" ht="12.75" customHeight="1" x14ac:dyDescent="0.2">
      <c r="C3678"/>
      <c r="M3678"/>
    </row>
    <row r="3679" spans="3:13" ht="12.75" customHeight="1" x14ac:dyDescent="0.2">
      <c r="C3679"/>
      <c r="M3679"/>
    </row>
    <row r="3680" spans="3:13" ht="12.75" customHeight="1" x14ac:dyDescent="0.2">
      <c r="C3680"/>
      <c r="M3680"/>
    </row>
    <row r="3681" spans="3:13" ht="12.75" customHeight="1" x14ac:dyDescent="0.2">
      <c r="C3681"/>
      <c r="M3681"/>
    </row>
    <row r="3682" spans="3:13" ht="12.75" customHeight="1" x14ac:dyDescent="0.2">
      <c r="C3682"/>
      <c r="M3682"/>
    </row>
    <row r="3683" spans="3:13" ht="12.75" customHeight="1" x14ac:dyDescent="0.2">
      <c r="C3683"/>
      <c r="M3683"/>
    </row>
    <row r="3684" spans="3:13" ht="12.75" customHeight="1" x14ac:dyDescent="0.2">
      <c r="C3684"/>
      <c r="M3684"/>
    </row>
    <row r="3685" spans="3:13" ht="12.75" customHeight="1" x14ac:dyDescent="0.2">
      <c r="C3685"/>
      <c r="M3685"/>
    </row>
    <row r="3686" spans="3:13" ht="12.75" customHeight="1" x14ac:dyDescent="0.2">
      <c r="C3686"/>
      <c r="M3686"/>
    </row>
    <row r="3687" spans="3:13" ht="12.75" customHeight="1" x14ac:dyDescent="0.2">
      <c r="C3687"/>
      <c r="M3687"/>
    </row>
    <row r="3688" spans="3:13" ht="12.75" customHeight="1" x14ac:dyDescent="0.2">
      <c r="C3688"/>
      <c r="M3688"/>
    </row>
    <row r="3689" spans="3:13" ht="12.75" customHeight="1" x14ac:dyDescent="0.2">
      <c r="C3689"/>
      <c r="M3689"/>
    </row>
    <row r="3690" spans="3:13" ht="12.75" customHeight="1" x14ac:dyDescent="0.2">
      <c r="C3690"/>
      <c r="M3690"/>
    </row>
    <row r="3691" spans="3:13" ht="12.75" customHeight="1" x14ac:dyDescent="0.2">
      <c r="C3691"/>
      <c r="M3691"/>
    </row>
    <row r="3692" spans="3:13" ht="12.75" customHeight="1" x14ac:dyDescent="0.2">
      <c r="C3692"/>
      <c r="M3692"/>
    </row>
    <row r="3693" spans="3:13" ht="12.75" customHeight="1" x14ac:dyDescent="0.2">
      <c r="C3693"/>
      <c r="M3693"/>
    </row>
    <row r="3694" spans="3:13" ht="12.75" customHeight="1" x14ac:dyDescent="0.2">
      <c r="C3694"/>
      <c r="M3694"/>
    </row>
    <row r="3695" spans="3:13" ht="12.75" customHeight="1" x14ac:dyDescent="0.2">
      <c r="C3695"/>
      <c r="M3695"/>
    </row>
    <row r="3696" spans="3:13" ht="12.75" customHeight="1" x14ac:dyDescent="0.2">
      <c r="C3696"/>
      <c r="M3696"/>
    </row>
    <row r="3697" spans="3:13" ht="12.75" customHeight="1" x14ac:dyDescent="0.2">
      <c r="C3697"/>
      <c r="M3697"/>
    </row>
    <row r="3698" spans="3:13" ht="12.75" customHeight="1" x14ac:dyDescent="0.2">
      <c r="C3698"/>
      <c r="M3698"/>
    </row>
    <row r="3699" spans="3:13" ht="12.75" customHeight="1" x14ac:dyDescent="0.2">
      <c r="C3699"/>
      <c r="M3699"/>
    </row>
    <row r="3700" spans="3:13" ht="12.75" customHeight="1" x14ac:dyDescent="0.2">
      <c r="C3700"/>
      <c r="M3700"/>
    </row>
    <row r="3701" spans="3:13" ht="12.75" customHeight="1" x14ac:dyDescent="0.2">
      <c r="C3701"/>
      <c r="M3701"/>
    </row>
    <row r="3702" spans="3:13" ht="12.75" customHeight="1" x14ac:dyDescent="0.2">
      <c r="C3702"/>
      <c r="M3702"/>
    </row>
    <row r="3703" spans="3:13" ht="12.75" customHeight="1" x14ac:dyDescent="0.2">
      <c r="C3703"/>
      <c r="M3703"/>
    </row>
    <row r="3704" spans="3:13" ht="12.75" customHeight="1" x14ac:dyDescent="0.2">
      <c r="C3704"/>
      <c r="M3704"/>
    </row>
    <row r="3705" spans="3:13" ht="12.75" customHeight="1" x14ac:dyDescent="0.2">
      <c r="C3705"/>
      <c r="M3705"/>
    </row>
    <row r="3706" spans="3:13" ht="12.75" customHeight="1" x14ac:dyDescent="0.2">
      <c r="C3706"/>
      <c r="M3706"/>
    </row>
    <row r="3707" spans="3:13" ht="12.75" customHeight="1" x14ac:dyDescent="0.2">
      <c r="C3707"/>
      <c r="M3707"/>
    </row>
    <row r="3708" spans="3:13" ht="12.75" customHeight="1" x14ac:dyDescent="0.2">
      <c r="C3708"/>
      <c r="M3708"/>
    </row>
    <row r="3709" spans="3:13" ht="12.75" customHeight="1" x14ac:dyDescent="0.2">
      <c r="C3709"/>
      <c r="M3709"/>
    </row>
    <row r="3710" spans="3:13" ht="12.75" customHeight="1" x14ac:dyDescent="0.2">
      <c r="C3710"/>
      <c r="M3710"/>
    </row>
    <row r="3711" spans="3:13" ht="12.75" customHeight="1" x14ac:dyDescent="0.2">
      <c r="C3711"/>
      <c r="M3711"/>
    </row>
    <row r="3712" spans="3:13" ht="12.75" customHeight="1" x14ac:dyDescent="0.2">
      <c r="C3712"/>
      <c r="M3712"/>
    </row>
    <row r="3713" spans="3:13" ht="12.75" customHeight="1" x14ac:dyDescent="0.2">
      <c r="C3713"/>
      <c r="M3713"/>
    </row>
    <row r="3714" spans="3:13" ht="12.75" customHeight="1" x14ac:dyDescent="0.2">
      <c r="C3714"/>
      <c r="M3714"/>
    </row>
    <row r="3715" spans="3:13" ht="12.75" customHeight="1" x14ac:dyDescent="0.2">
      <c r="C3715"/>
      <c r="M3715"/>
    </row>
    <row r="3716" spans="3:13" ht="12.75" customHeight="1" x14ac:dyDescent="0.2">
      <c r="C3716"/>
      <c r="M3716"/>
    </row>
    <row r="3717" spans="3:13" ht="12.75" customHeight="1" x14ac:dyDescent="0.2">
      <c r="C3717"/>
      <c r="M3717"/>
    </row>
    <row r="3718" spans="3:13" ht="12.75" customHeight="1" x14ac:dyDescent="0.2">
      <c r="C3718"/>
      <c r="M3718"/>
    </row>
    <row r="3719" spans="3:13" ht="12.75" customHeight="1" x14ac:dyDescent="0.2">
      <c r="C3719"/>
      <c r="M3719"/>
    </row>
    <row r="3720" spans="3:13" ht="12.75" customHeight="1" x14ac:dyDescent="0.2">
      <c r="C3720"/>
      <c r="M3720"/>
    </row>
    <row r="3721" spans="3:13" ht="12.75" customHeight="1" x14ac:dyDescent="0.2">
      <c r="C3721"/>
      <c r="M3721"/>
    </row>
    <row r="3722" spans="3:13" ht="12.75" customHeight="1" x14ac:dyDescent="0.2">
      <c r="C3722"/>
      <c r="M3722"/>
    </row>
    <row r="3723" spans="3:13" ht="12.75" customHeight="1" x14ac:dyDescent="0.2">
      <c r="C3723"/>
      <c r="M3723"/>
    </row>
    <row r="3724" spans="3:13" ht="12.75" customHeight="1" x14ac:dyDescent="0.2">
      <c r="C3724"/>
      <c r="M3724"/>
    </row>
    <row r="3725" spans="3:13" ht="12.75" customHeight="1" x14ac:dyDescent="0.2">
      <c r="C3725"/>
      <c r="M3725"/>
    </row>
    <row r="3726" spans="3:13" ht="12.75" customHeight="1" x14ac:dyDescent="0.2">
      <c r="C3726"/>
      <c r="M3726"/>
    </row>
    <row r="3727" spans="3:13" ht="12.75" customHeight="1" x14ac:dyDescent="0.2">
      <c r="C3727"/>
      <c r="M3727"/>
    </row>
    <row r="3728" spans="3:13" ht="12.75" customHeight="1" x14ac:dyDescent="0.2">
      <c r="C3728"/>
      <c r="M3728"/>
    </row>
    <row r="3729" spans="3:13" ht="12.75" customHeight="1" x14ac:dyDescent="0.2">
      <c r="C3729"/>
      <c r="M3729"/>
    </row>
    <row r="3730" spans="3:13" ht="12.75" customHeight="1" x14ac:dyDescent="0.2">
      <c r="C3730"/>
      <c r="M3730"/>
    </row>
    <row r="3731" spans="3:13" ht="12.75" customHeight="1" x14ac:dyDescent="0.2">
      <c r="C3731"/>
      <c r="M3731"/>
    </row>
    <row r="3732" spans="3:13" ht="12.75" customHeight="1" x14ac:dyDescent="0.2">
      <c r="C3732"/>
      <c r="M3732"/>
    </row>
    <row r="3733" spans="3:13" ht="12.75" customHeight="1" x14ac:dyDescent="0.2">
      <c r="C3733"/>
      <c r="M3733"/>
    </row>
    <row r="3734" spans="3:13" ht="12.75" customHeight="1" x14ac:dyDescent="0.2">
      <c r="C3734"/>
      <c r="M3734"/>
    </row>
    <row r="3735" spans="3:13" ht="12.75" customHeight="1" x14ac:dyDescent="0.2">
      <c r="C3735"/>
      <c r="M3735"/>
    </row>
    <row r="3736" spans="3:13" ht="12.75" customHeight="1" x14ac:dyDescent="0.2">
      <c r="C3736"/>
      <c r="M3736"/>
    </row>
    <row r="3737" spans="3:13" ht="12.75" customHeight="1" x14ac:dyDescent="0.2">
      <c r="C3737"/>
      <c r="M3737"/>
    </row>
    <row r="3738" spans="3:13" ht="12.75" customHeight="1" x14ac:dyDescent="0.2">
      <c r="C3738"/>
      <c r="M3738"/>
    </row>
    <row r="3739" spans="3:13" ht="12.75" customHeight="1" x14ac:dyDescent="0.2">
      <c r="C3739"/>
      <c r="M3739"/>
    </row>
    <row r="3740" spans="3:13" ht="12.75" customHeight="1" x14ac:dyDescent="0.2">
      <c r="C3740"/>
      <c r="M3740"/>
    </row>
    <row r="3741" spans="3:13" ht="12.75" customHeight="1" x14ac:dyDescent="0.2">
      <c r="C3741"/>
      <c r="M3741"/>
    </row>
    <row r="3742" spans="3:13" ht="12.75" customHeight="1" x14ac:dyDescent="0.2">
      <c r="C3742"/>
      <c r="M3742"/>
    </row>
    <row r="3743" spans="3:13" ht="12.75" customHeight="1" x14ac:dyDescent="0.2">
      <c r="C3743"/>
      <c r="M3743"/>
    </row>
    <row r="3744" spans="3:13" ht="12.75" customHeight="1" x14ac:dyDescent="0.2">
      <c r="C3744"/>
      <c r="M3744"/>
    </row>
    <row r="3745" spans="3:13" ht="12.75" customHeight="1" x14ac:dyDescent="0.2">
      <c r="C3745"/>
      <c r="M3745"/>
    </row>
    <row r="3746" spans="3:13" ht="12.75" customHeight="1" x14ac:dyDescent="0.2">
      <c r="C3746"/>
      <c r="M3746"/>
    </row>
    <row r="3747" spans="3:13" ht="12.75" customHeight="1" x14ac:dyDescent="0.2">
      <c r="C3747"/>
      <c r="M3747"/>
    </row>
    <row r="3748" spans="3:13" ht="12.75" customHeight="1" x14ac:dyDescent="0.2">
      <c r="C3748"/>
      <c r="M3748"/>
    </row>
    <row r="3749" spans="3:13" ht="12.75" customHeight="1" x14ac:dyDescent="0.2">
      <c r="C3749"/>
      <c r="M3749"/>
    </row>
    <row r="3750" spans="3:13" ht="12.75" customHeight="1" x14ac:dyDescent="0.2">
      <c r="C3750"/>
      <c r="M3750"/>
    </row>
    <row r="3751" spans="3:13" ht="12.75" customHeight="1" x14ac:dyDescent="0.2">
      <c r="C3751"/>
      <c r="M3751"/>
    </row>
    <row r="3752" spans="3:13" ht="12.75" customHeight="1" x14ac:dyDescent="0.2">
      <c r="C3752"/>
      <c r="M3752"/>
    </row>
    <row r="3753" spans="3:13" ht="12.75" customHeight="1" x14ac:dyDescent="0.2">
      <c r="C3753"/>
      <c r="M3753"/>
    </row>
    <row r="3754" spans="3:13" ht="12.75" customHeight="1" x14ac:dyDescent="0.2">
      <c r="C3754"/>
      <c r="M3754"/>
    </row>
    <row r="3755" spans="3:13" ht="12.75" customHeight="1" x14ac:dyDescent="0.2">
      <c r="C3755"/>
      <c r="M3755"/>
    </row>
    <row r="3756" spans="3:13" ht="12.75" customHeight="1" x14ac:dyDescent="0.2">
      <c r="C3756"/>
      <c r="M3756"/>
    </row>
    <row r="3757" spans="3:13" ht="12.75" customHeight="1" x14ac:dyDescent="0.2">
      <c r="C3757"/>
      <c r="M3757"/>
    </row>
    <row r="3758" spans="3:13" ht="12.75" customHeight="1" x14ac:dyDescent="0.2">
      <c r="C3758"/>
      <c r="M3758"/>
    </row>
    <row r="3759" spans="3:13" ht="12.75" customHeight="1" x14ac:dyDescent="0.2">
      <c r="C3759"/>
      <c r="M3759"/>
    </row>
    <row r="3760" spans="3:13" ht="12.75" customHeight="1" x14ac:dyDescent="0.2">
      <c r="C3760"/>
      <c r="M3760"/>
    </row>
    <row r="3761" spans="3:13" ht="12.75" customHeight="1" x14ac:dyDescent="0.2">
      <c r="C3761"/>
      <c r="M3761"/>
    </row>
    <row r="3762" spans="3:13" ht="12.75" customHeight="1" x14ac:dyDescent="0.2">
      <c r="C3762"/>
      <c r="M3762"/>
    </row>
    <row r="3763" spans="3:13" ht="12.75" customHeight="1" x14ac:dyDescent="0.2">
      <c r="C3763"/>
      <c r="M3763"/>
    </row>
    <row r="3764" spans="3:13" ht="12.75" customHeight="1" x14ac:dyDescent="0.2">
      <c r="C3764"/>
      <c r="M3764"/>
    </row>
    <row r="3765" spans="3:13" ht="12.75" customHeight="1" x14ac:dyDescent="0.2">
      <c r="C3765"/>
      <c r="M3765"/>
    </row>
    <row r="3766" spans="3:13" ht="12.75" customHeight="1" x14ac:dyDescent="0.2">
      <c r="C3766"/>
      <c r="M3766"/>
    </row>
    <row r="3767" spans="3:13" ht="12.75" customHeight="1" x14ac:dyDescent="0.2">
      <c r="C3767"/>
      <c r="M3767"/>
    </row>
    <row r="3768" spans="3:13" ht="12.75" customHeight="1" x14ac:dyDescent="0.2">
      <c r="C3768"/>
      <c r="M3768"/>
    </row>
    <row r="3769" spans="3:13" ht="12.75" customHeight="1" x14ac:dyDescent="0.2">
      <c r="C3769"/>
      <c r="M3769"/>
    </row>
    <row r="3770" spans="3:13" ht="12.75" customHeight="1" x14ac:dyDescent="0.2">
      <c r="C3770"/>
      <c r="M3770"/>
    </row>
    <row r="3771" spans="3:13" ht="12.75" customHeight="1" x14ac:dyDescent="0.2">
      <c r="C3771"/>
      <c r="M3771"/>
    </row>
    <row r="3772" spans="3:13" ht="12.75" customHeight="1" x14ac:dyDescent="0.2">
      <c r="C3772"/>
      <c r="M3772"/>
    </row>
    <row r="3773" spans="3:13" ht="12.75" customHeight="1" x14ac:dyDescent="0.2">
      <c r="C3773"/>
      <c r="M3773"/>
    </row>
    <row r="3774" spans="3:13" ht="12.75" customHeight="1" x14ac:dyDescent="0.2">
      <c r="C3774"/>
      <c r="M3774"/>
    </row>
    <row r="3775" spans="3:13" ht="12.75" customHeight="1" x14ac:dyDescent="0.2">
      <c r="C3775"/>
      <c r="M3775"/>
    </row>
    <row r="3776" spans="3:13" ht="12.75" customHeight="1" x14ac:dyDescent="0.2">
      <c r="C3776"/>
      <c r="M3776"/>
    </row>
    <row r="3777" spans="3:13" ht="12.75" customHeight="1" x14ac:dyDescent="0.2">
      <c r="C3777"/>
      <c r="M3777"/>
    </row>
    <row r="3778" spans="3:13" ht="12.75" customHeight="1" x14ac:dyDescent="0.2">
      <c r="C3778"/>
      <c r="M3778"/>
    </row>
    <row r="3779" spans="3:13" ht="12.75" customHeight="1" x14ac:dyDescent="0.2">
      <c r="C3779"/>
      <c r="M3779"/>
    </row>
    <row r="3780" spans="3:13" ht="12.75" customHeight="1" x14ac:dyDescent="0.2">
      <c r="C3780"/>
      <c r="M3780"/>
    </row>
    <row r="3781" spans="3:13" ht="12.75" customHeight="1" x14ac:dyDescent="0.2">
      <c r="C3781"/>
      <c r="M3781"/>
    </row>
    <row r="3782" spans="3:13" ht="12.75" customHeight="1" x14ac:dyDescent="0.2">
      <c r="C3782"/>
      <c r="M3782"/>
    </row>
    <row r="3783" spans="3:13" ht="12.75" customHeight="1" x14ac:dyDescent="0.2">
      <c r="C3783"/>
      <c r="M3783"/>
    </row>
    <row r="3784" spans="3:13" ht="12.75" customHeight="1" x14ac:dyDescent="0.2">
      <c r="C3784"/>
      <c r="M3784"/>
    </row>
    <row r="3785" spans="3:13" ht="12.75" customHeight="1" x14ac:dyDescent="0.2">
      <c r="C3785"/>
      <c r="M3785"/>
    </row>
    <row r="3786" spans="3:13" ht="12.75" customHeight="1" x14ac:dyDescent="0.2">
      <c r="C3786"/>
      <c r="M3786"/>
    </row>
    <row r="3787" spans="3:13" ht="12.75" customHeight="1" x14ac:dyDescent="0.2">
      <c r="C3787"/>
      <c r="M3787"/>
    </row>
    <row r="3788" spans="3:13" ht="12.75" customHeight="1" x14ac:dyDescent="0.2">
      <c r="C3788"/>
      <c r="M3788"/>
    </row>
    <row r="3789" spans="3:13" ht="12.75" customHeight="1" x14ac:dyDescent="0.2">
      <c r="C3789"/>
      <c r="M3789"/>
    </row>
    <row r="3790" spans="3:13" ht="12.75" customHeight="1" x14ac:dyDescent="0.2">
      <c r="C3790"/>
      <c r="M3790"/>
    </row>
    <row r="3791" spans="3:13" ht="12.75" customHeight="1" x14ac:dyDescent="0.2">
      <c r="C3791"/>
      <c r="M3791"/>
    </row>
    <row r="3792" spans="3:13" ht="12.75" customHeight="1" x14ac:dyDescent="0.2">
      <c r="C3792"/>
      <c r="M3792"/>
    </row>
    <row r="3793" spans="3:13" ht="12.75" customHeight="1" x14ac:dyDescent="0.2">
      <c r="C3793"/>
      <c r="M3793"/>
    </row>
    <row r="3794" spans="3:13" ht="12.75" customHeight="1" x14ac:dyDescent="0.2">
      <c r="C3794"/>
      <c r="M3794"/>
    </row>
    <row r="3795" spans="3:13" ht="12.75" customHeight="1" x14ac:dyDescent="0.2">
      <c r="C3795"/>
      <c r="M3795"/>
    </row>
    <row r="3796" spans="3:13" ht="12.75" customHeight="1" x14ac:dyDescent="0.2">
      <c r="C3796"/>
      <c r="M3796"/>
    </row>
    <row r="3797" spans="3:13" ht="12.75" customHeight="1" x14ac:dyDescent="0.2">
      <c r="C3797"/>
      <c r="M3797"/>
    </row>
    <row r="3798" spans="3:13" ht="12.75" customHeight="1" x14ac:dyDescent="0.2">
      <c r="C3798"/>
      <c r="M3798"/>
    </row>
    <row r="3799" spans="3:13" ht="12.75" customHeight="1" x14ac:dyDescent="0.2">
      <c r="C3799"/>
      <c r="M3799"/>
    </row>
    <row r="3800" spans="3:13" ht="12.75" customHeight="1" x14ac:dyDescent="0.2">
      <c r="C3800"/>
      <c r="M3800"/>
    </row>
    <row r="3801" spans="3:13" ht="12.75" customHeight="1" x14ac:dyDescent="0.2">
      <c r="C3801"/>
      <c r="M3801"/>
    </row>
    <row r="3802" spans="3:13" ht="12.75" customHeight="1" x14ac:dyDescent="0.2">
      <c r="C3802"/>
      <c r="M3802"/>
    </row>
    <row r="3803" spans="3:13" ht="12.75" customHeight="1" x14ac:dyDescent="0.2">
      <c r="C3803"/>
      <c r="M3803"/>
    </row>
    <row r="3804" spans="3:13" ht="12.75" customHeight="1" x14ac:dyDescent="0.2">
      <c r="C3804"/>
      <c r="M3804"/>
    </row>
    <row r="3805" spans="3:13" ht="12.75" customHeight="1" x14ac:dyDescent="0.2">
      <c r="C3805"/>
      <c r="M3805"/>
    </row>
    <row r="3806" spans="3:13" ht="12.75" customHeight="1" x14ac:dyDescent="0.2">
      <c r="C3806"/>
      <c r="M3806"/>
    </row>
    <row r="3807" spans="3:13" ht="12.75" customHeight="1" x14ac:dyDescent="0.2">
      <c r="C3807"/>
      <c r="M3807"/>
    </row>
    <row r="3808" spans="3:13" ht="12.75" customHeight="1" x14ac:dyDescent="0.2">
      <c r="C3808"/>
      <c r="M3808"/>
    </row>
    <row r="3809" spans="3:13" ht="12.75" customHeight="1" x14ac:dyDescent="0.2">
      <c r="C3809"/>
      <c r="M3809"/>
    </row>
    <row r="3810" spans="3:13" ht="12.75" customHeight="1" x14ac:dyDescent="0.2">
      <c r="C3810"/>
      <c r="M3810"/>
    </row>
    <row r="3811" spans="3:13" ht="12.75" customHeight="1" x14ac:dyDescent="0.2">
      <c r="C3811"/>
      <c r="M3811"/>
    </row>
    <row r="3812" spans="3:13" ht="12.75" customHeight="1" x14ac:dyDescent="0.2">
      <c r="C3812"/>
      <c r="M3812"/>
    </row>
    <row r="3813" spans="3:13" ht="12.75" customHeight="1" x14ac:dyDescent="0.2">
      <c r="C3813"/>
      <c r="M3813"/>
    </row>
    <row r="3814" spans="3:13" ht="12.75" customHeight="1" x14ac:dyDescent="0.2">
      <c r="C3814"/>
      <c r="M3814"/>
    </row>
    <row r="3815" spans="3:13" ht="12.75" customHeight="1" x14ac:dyDescent="0.2">
      <c r="C3815"/>
      <c r="M3815"/>
    </row>
    <row r="3816" spans="3:13" ht="12.75" customHeight="1" x14ac:dyDescent="0.2">
      <c r="C3816"/>
      <c r="M3816"/>
    </row>
    <row r="3817" spans="3:13" ht="12.75" customHeight="1" x14ac:dyDescent="0.2">
      <c r="C3817"/>
      <c r="M3817"/>
    </row>
    <row r="3818" spans="3:13" ht="12.75" customHeight="1" x14ac:dyDescent="0.2">
      <c r="C3818"/>
      <c r="M3818"/>
    </row>
    <row r="3819" spans="3:13" ht="12.75" customHeight="1" x14ac:dyDescent="0.2">
      <c r="C3819"/>
      <c r="M3819"/>
    </row>
    <row r="3820" spans="3:13" ht="12.75" customHeight="1" x14ac:dyDescent="0.2">
      <c r="C3820"/>
      <c r="M3820"/>
    </row>
    <row r="3821" spans="3:13" ht="12.75" customHeight="1" x14ac:dyDescent="0.2">
      <c r="C3821"/>
      <c r="M3821"/>
    </row>
    <row r="3822" spans="3:13" ht="12.75" customHeight="1" x14ac:dyDescent="0.2">
      <c r="C3822"/>
      <c r="M3822"/>
    </row>
    <row r="3823" spans="3:13" ht="12.75" customHeight="1" x14ac:dyDescent="0.2">
      <c r="C3823"/>
      <c r="M3823"/>
    </row>
    <row r="3824" spans="3:13" ht="12.75" customHeight="1" x14ac:dyDescent="0.2">
      <c r="C3824"/>
      <c r="M3824"/>
    </row>
    <row r="3825" spans="3:13" ht="12.75" customHeight="1" x14ac:dyDescent="0.2">
      <c r="C3825"/>
      <c r="M3825"/>
    </row>
    <row r="3826" spans="3:13" ht="12.75" customHeight="1" x14ac:dyDescent="0.2">
      <c r="C3826"/>
      <c r="M3826"/>
    </row>
    <row r="3827" spans="3:13" ht="12.75" customHeight="1" x14ac:dyDescent="0.2">
      <c r="C3827"/>
      <c r="M3827"/>
    </row>
    <row r="3828" spans="3:13" ht="12.75" customHeight="1" x14ac:dyDescent="0.2">
      <c r="C3828"/>
      <c r="M3828"/>
    </row>
    <row r="3829" spans="3:13" ht="12.75" customHeight="1" x14ac:dyDescent="0.2">
      <c r="C3829"/>
      <c r="M3829"/>
    </row>
    <row r="3830" spans="3:13" ht="12.75" customHeight="1" x14ac:dyDescent="0.2">
      <c r="C3830"/>
      <c r="M3830"/>
    </row>
    <row r="3831" spans="3:13" ht="12.75" customHeight="1" x14ac:dyDescent="0.2">
      <c r="C3831"/>
      <c r="M3831"/>
    </row>
    <row r="3832" spans="3:13" ht="12.75" customHeight="1" x14ac:dyDescent="0.2">
      <c r="C3832"/>
      <c r="M3832"/>
    </row>
    <row r="3833" spans="3:13" ht="12.75" customHeight="1" x14ac:dyDescent="0.2">
      <c r="C3833"/>
      <c r="M3833"/>
    </row>
    <row r="3834" spans="3:13" ht="12.75" customHeight="1" x14ac:dyDescent="0.2">
      <c r="C3834"/>
      <c r="M3834"/>
    </row>
    <row r="3835" spans="3:13" ht="12.75" customHeight="1" x14ac:dyDescent="0.2">
      <c r="C3835"/>
      <c r="M3835"/>
    </row>
    <row r="3836" spans="3:13" ht="12.75" customHeight="1" x14ac:dyDescent="0.2">
      <c r="C3836"/>
      <c r="M3836"/>
    </row>
    <row r="3837" spans="3:13" ht="12.75" customHeight="1" x14ac:dyDescent="0.2">
      <c r="C3837"/>
      <c r="M3837"/>
    </row>
    <row r="3838" spans="3:13" ht="12.75" customHeight="1" x14ac:dyDescent="0.2">
      <c r="C3838"/>
      <c r="M3838"/>
    </row>
    <row r="3839" spans="3:13" ht="12.75" customHeight="1" x14ac:dyDescent="0.2">
      <c r="C3839"/>
      <c r="M3839"/>
    </row>
    <row r="3840" spans="3:13" ht="12.75" customHeight="1" x14ac:dyDescent="0.2">
      <c r="C3840"/>
      <c r="M3840"/>
    </row>
    <row r="3841" spans="3:13" ht="12.75" customHeight="1" x14ac:dyDescent="0.2">
      <c r="C3841"/>
      <c r="M3841"/>
    </row>
    <row r="3842" spans="3:13" ht="12.75" customHeight="1" x14ac:dyDescent="0.2">
      <c r="C3842"/>
      <c r="M3842"/>
    </row>
    <row r="3843" spans="3:13" ht="12.75" customHeight="1" x14ac:dyDescent="0.2">
      <c r="C3843"/>
      <c r="M3843"/>
    </row>
    <row r="3844" spans="3:13" ht="12.75" customHeight="1" x14ac:dyDescent="0.2">
      <c r="C3844"/>
      <c r="M3844"/>
    </row>
    <row r="3845" spans="3:13" ht="12.75" customHeight="1" x14ac:dyDescent="0.2">
      <c r="C3845"/>
      <c r="M3845"/>
    </row>
    <row r="3846" spans="3:13" ht="12.75" customHeight="1" x14ac:dyDescent="0.2">
      <c r="C3846"/>
      <c r="M3846"/>
    </row>
    <row r="3847" spans="3:13" ht="12.75" customHeight="1" x14ac:dyDescent="0.2">
      <c r="C3847"/>
      <c r="M3847"/>
    </row>
    <row r="3848" spans="3:13" ht="12.75" customHeight="1" x14ac:dyDescent="0.2">
      <c r="C3848"/>
      <c r="M3848"/>
    </row>
    <row r="3849" spans="3:13" ht="12.75" customHeight="1" x14ac:dyDescent="0.2">
      <c r="C3849"/>
      <c r="M3849"/>
    </row>
    <row r="3850" spans="3:13" ht="12.75" customHeight="1" x14ac:dyDescent="0.2">
      <c r="C3850"/>
      <c r="M3850"/>
    </row>
    <row r="3851" spans="3:13" ht="12.75" customHeight="1" x14ac:dyDescent="0.2">
      <c r="C3851"/>
      <c r="M3851"/>
    </row>
    <row r="3852" spans="3:13" ht="12.75" customHeight="1" x14ac:dyDescent="0.2">
      <c r="C3852"/>
      <c r="M3852"/>
    </row>
    <row r="3853" spans="3:13" ht="12.75" customHeight="1" x14ac:dyDescent="0.2">
      <c r="C3853"/>
      <c r="M3853"/>
    </row>
    <row r="3854" spans="3:13" ht="12.75" customHeight="1" x14ac:dyDescent="0.2">
      <c r="C3854"/>
      <c r="M3854"/>
    </row>
    <row r="3855" spans="3:13" ht="12.75" customHeight="1" x14ac:dyDescent="0.2">
      <c r="C3855"/>
      <c r="M3855"/>
    </row>
    <row r="3856" spans="3:13" ht="12.75" customHeight="1" x14ac:dyDescent="0.2">
      <c r="C3856"/>
      <c r="M3856"/>
    </row>
    <row r="3857" spans="3:13" ht="12.75" customHeight="1" x14ac:dyDescent="0.2">
      <c r="C3857"/>
      <c r="M3857"/>
    </row>
    <row r="3858" spans="3:13" ht="12.75" customHeight="1" x14ac:dyDescent="0.2">
      <c r="C3858"/>
      <c r="M3858"/>
    </row>
    <row r="3859" spans="3:13" ht="12.75" customHeight="1" x14ac:dyDescent="0.2">
      <c r="C3859"/>
      <c r="M3859"/>
    </row>
    <row r="3860" spans="3:13" ht="12.75" customHeight="1" x14ac:dyDescent="0.2">
      <c r="C3860"/>
      <c r="M3860"/>
    </row>
    <row r="3861" spans="3:13" ht="12.75" customHeight="1" x14ac:dyDescent="0.2">
      <c r="C3861"/>
      <c r="M3861"/>
    </row>
    <row r="3862" spans="3:13" ht="12.75" customHeight="1" x14ac:dyDescent="0.2">
      <c r="C3862"/>
      <c r="M3862"/>
    </row>
    <row r="3863" spans="3:13" ht="12.75" customHeight="1" x14ac:dyDescent="0.2">
      <c r="C3863"/>
      <c r="M3863"/>
    </row>
    <row r="3864" spans="3:13" ht="12.75" customHeight="1" x14ac:dyDescent="0.2">
      <c r="C3864"/>
      <c r="M3864"/>
    </row>
    <row r="3865" spans="3:13" ht="12.75" customHeight="1" x14ac:dyDescent="0.2">
      <c r="C3865"/>
      <c r="M3865"/>
    </row>
    <row r="3866" spans="3:13" ht="12.75" customHeight="1" x14ac:dyDescent="0.2">
      <c r="C3866"/>
      <c r="M3866"/>
    </row>
    <row r="3867" spans="3:13" ht="12.75" customHeight="1" x14ac:dyDescent="0.2">
      <c r="C3867"/>
      <c r="M3867"/>
    </row>
    <row r="3868" spans="3:13" ht="12.75" customHeight="1" x14ac:dyDescent="0.2">
      <c r="C3868"/>
      <c r="M3868"/>
    </row>
    <row r="3869" spans="3:13" ht="12.75" customHeight="1" x14ac:dyDescent="0.2">
      <c r="C3869"/>
      <c r="M3869"/>
    </row>
    <row r="3870" spans="3:13" ht="12.75" customHeight="1" x14ac:dyDescent="0.2">
      <c r="C3870"/>
      <c r="M3870"/>
    </row>
    <row r="3871" spans="3:13" ht="12.75" customHeight="1" x14ac:dyDescent="0.2">
      <c r="C3871"/>
      <c r="M3871"/>
    </row>
    <row r="3872" spans="3:13" ht="12.75" customHeight="1" x14ac:dyDescent="0.2">
      <c r="C3872"/>
      <c r="M3872"/>
    </row>
    <row r="3873" spans="3:13" ht="12.75" customHeight="1" x14ac:dyDescent="0.2">
      <c r="C3873"/>
      <c r="M3873"/>
    </row>
    <row r="3874" spans="3:13" ht="12.75" customHeight="1" x14ac:dyDescent="0.2">
      <c r="C3874"/>
      <c r="M3874"/>
    </row>
    <row r="3875" spans="3:13" ht="12.75" customHeight="1" x14ac:dyDescent="0.2">
      <c r="C3875"/>
      <c r="M3875"/>
    </row>
    <row r="3876" spans="3:13" ht="12.75" customHeight="1" x14ac:dyDescent="0.2">
      <c r="C3876"/>
      <c r="M3876"/>
    </row>
    <row r="3877" spans="3:13" ht="12.75" customHeight="1" x14ac:dyDescent="0.2">
      <c r="C3877"/>
      <c r="M3877"/>
    </row>
    <row r="3878" spans="3:13" ht="12.75" customHeight="1" x14ac:dyDescent="0.2">
      <c r="C3878"/>
      <c r="M3878"/>
    </row>
    <row r="3879" spans="3:13" ht="12.75" customHeight="1" x14ac:dyDescent="0.2">
      <c r="C3879"/>
      <c r="M3879"/>
    </row>
    <row r="3880" spans="3:13" ht="12.75" customHeight="1" x14ac:dyDescent="0.2">
      <c r="C3880"/>
      <c r="M3880"/>
    </row>
    <row r="3881" spans="3:13" ht="12.75" customHeight="1" x14ac:dyDescent="0.2">
      <c r="C3881"/>
      <c r="M3881"/>
    </row>
    <row r="3882" spans="3:13" ht="12.75" customHeight="1" x14ac:dyDescent="0.2">
      <c r="C3882"/>
      <c r="M3882"/>
    </row>
    <row r="3883" spans="3:13" ht="12.75" customHeight="1" x14ac:dyDescent="0.2">
      <c r="C3883"/>
      <c r="M3883"/>
    </row>
    <row r="3884" spans="3:13" ht="12.75" customHeight="1" x14ac:dyDescent="0.2">
      <c r="C3884"/>
      <c r="M3884"/>
    </row>
    <row r="3885" spans="3:13" ht="12.75" customHeight="1" x14ac:dyDescent="0.2">
      <c r="C3885"/>
      <c r="M3885"/>
    </row>
    <row r="3886" spans="3:13" ht="12.75" customHeight="1" x14ac:dyDescent="0.2">
      <c r="C3886"/>
      <c r="M3886"/>
    </row>
    <row r="3887" spans="3:13" ht="12.75" customHeight="1" x14ac:dyDescent="0.2">
      <c r="C3887"/>
      <c r="M3887"/>
    </row>
    <row r="3888" spans="3:13" ht="12.75" customHeight="1" x14ac:dyDescent="0.2">
      <c r="C3888"/>
      <c r="M3888"/>
    </row>
    <row r="3889" spans="3:13" ht="12.75" customHeight="1" x14ac:dyDescent="0.2">
      <c r="C3889"/>
      <c r="M3889"/>
    </row>
    <row r="3890" spans="3:13" ht="12.75" customHeight="1" x14ac:dyDescent="0.2">
      <c r="C3890"/>
      <c r="M3890"/>
    </row>
    <row r="3891" spans="3:13" ht="12.75" customHeight="1" x14ac:dyDescent="0.2">
      <c r="C3891"/>
      <c r="M3891"/>
    </row>
    <row r="3892" spans="3:13" ht="12.75" customHeight="1" x14ac:dyDescent="0.2">
      <c r="C3892"/>
      <c r="M3892"/>
    </row>
    <row r="3893" spans="3:13" ht="12.75" customHeight="1" x14ac:dyDescent="0.2">
      <c r="C3893"/>
      <c r="M3893"/>
    </row>
    <row r="3894" spans="3:13" ht="12.75" customHeight="1" x14ac:dyDescent="0.2">
      <c r="C3894"/>
      <c r="M3894"/>
    </row>
    <row r="3895" spans="3:13" ht="12.75" customHeight="1" x14ac:dyDescent="0.2">
      <c r="C3895"/>
      <c r="M3895"/>
    </row>
    <row r="3896" spans="3:13" ht="12.75" customHeight="1" x14ac:dyDescent="0.2">
      <c r="C3896"/>
      <c r="M3896"/>
    </row>
    <row r="3897" spans="3:13" ht="12.75" customHeight="1" x14ac:dyDescent="0.2">
      <c r="C3897"/>
      <c r="M3897"/>
    </row>
    <row r="3898" spans="3:13" ht="12.75" customHeight="1" x14ac:dyDescent="0.2">
      <c r="C3898"/>
      <c r="M3898"/>
    </row>
    <row r="3899" spans="3:13" ht="12.75" customHeight="1" x14ac:dyDescent="0.2">
      <c r="C3899"/>
      <c r="M3899"/>
    </row>
    <row r="3900" spans="3:13" ht="12.75" customHeight="1" x14ac:dyDescent="0.2">
      <c r="C3900"/>
      <c r="M3900"/>
    </row>
    <row r="3901" spans="3:13" ht="12.75" customHeight="1" x14ac:dyDescent="0.2">
      <c r="C3901"/>
      <c r="M3901"/>
    </row>
    <row r="3902" spans="3:13" ht="12.75" customHeight="1" x14ac:dyDescent="0.2">
      <c r="C3902"/>
      <c r="M3902"/>
    </row>
    <row r="3903" spans="3:13" ht="12.75" customHeight="1" x14ac:dyDescent="0.2">
      <c r="C3903"/>
      <c r="M3903"/>
    </row>
    <row r="3904" spans="3:13" ht="12.75" customHeight="1" x14ac:dyDescent="0.2">
      <c r="C3904"/>
      <c r="M3904"/>
    </row>
    <row r="3905" spans="3:13" ht="12.75" customHeight="1" x14ac:dyDescent="0.2">
      <c r="C3905"/>
      <c r="M3905"/>
    </row>
    <row r="3906" spans="3:13" ht="12.75" customHeight="1" x14ac:dyDescent="0.2">
      <c r="C3906"/>
      <c r="M3906"/>
    </row>
    <row r="3907" spans="3:13" ht="12.75" customHeight="1" x14ac:dyDescent="0.2">
      <c r="C3907"/>
      <c r="M3907"/>
    </row>
    <row r="3908" spans="3:13" ht="12.75" customHeight="1" x14ac:dyDescent="0.2">
      <c r="C3908"/>
      <c r="M3908"/>
    </row>
    <row r="3909" spans="3:13" ht="12.75" customHeight="1" x14ac:dyDescent="0.2">
      <c r="C3909"/>
      <c r="M3909"/>
    </row>
    <row r="3910" spans="3:13" ht="12.75" customHeight="1" x14ac:dyDescent="0.2">
      <c r="C3910"/>
      <c r="M3910"/>
    </row>
    <row r="3911" spans="3:13" ht="12.75" customHeight="1" x14ac:dyDescent="0.2">
      <c r="C3911"/>
      <c r="M3911"/>
    </row>
    <row r="3912" spans="3:13" ht="12.75" customHeight="1" x14ac:dyDescent="0.2">
      <c r="C3912"/>
      <c r="M3912"/>
    </row>
    <row r="3913" spans="3:13" ht="12.75" customHeight="1" x14ac:dyDescent="0.2">
      <c r="C3913"/>
      <c r="M3913"/>
    </row>
    <row r="3914" spans="3:13" ht="12.75" customHeight="1" x14ac:dyDescent="0.2">
      <c r="C3914"/>
      <c r="M3914"/>
    </row>
    <row r="3915" spans="3:13" ht="12.75" customHeight="1" x14ac:dyDescent="0.2">
      <c r="C3915"/>
      <c r="M3915"/>
    </row>
    <row r="3916" spans="3:13" ht="12.75" customHeight="1" x14ac:dyDescent="0.2">
      <c r="C3916"/>
      <c r="M3916"/>
    </row>
    <row r="3917" spans="3:13" ht="12.75" customHeight="1" x14ac:dyDescent="0.2">
      <c r="C3917"/>
      <c r="M3917"/>
    </row>
    <row r="3918" spans="3:13" ht="12.75" customHeight="1" x14ac:dyDescent="0.2">
      <c r="C3918"/>
      <c r="M3918"/>
    </row>
    <row r="3919" spans="3:13" ht="12.75" customHeight="1" x14ac:dyDescent="0.2">
      <c r="C3919"/>
      <c r="M3919"/>
    </row>
    <row r="3920" spans="3:13" ht="12.75" customHeight="1" x14ac:dyDescent="0.2">
      <c r="C3920"/>
      <c r="M3920"/>
    </row>
    <row r="3921" spans="3:13" ht="12.75" customHeight="1" x14ac:dyDescent="0.2">
      <c r="C3921"/>
      <c r="M3921"/>
    </row>
    <row r="3922" spans="3:13" ht="12.75" customHeight="1" x14ac:dyDescent="0.2">
      <c r="C3922"/>
      <c r="M3922"/>
    </row>
    <row r="3923" spans="3:13" ht="12.75" customHeight="1" x14ac:dyDescent="0.2">
      <c r="C3923"/>
      <c r="M3923"/>
    </row>
    <row r="3924" spans="3:13" ht="12.75" customHeight="1" x14ac:dyDescent="0.2">
      <c r="C3924"/>
      <c r="M3924"/>
    </row>
    <row r="3925" spans="3:13" ht="12.75" customHeight="1" x14ac:dyDescent="0.2">
      <c r="C3925"/>
      <c r="M3925"/>
    </row>
    <row r="3926" spans="3:13" ht="12.75" customHeight="1" x14ac:dyDescent="0.2">
      <c r="C3926"/>
      <c r="M3926"/>
    </row>
    <row r="3927" spans="3:13" ht="12.75" customHeight="1" x14ac:dyDescent="0.2">
      <c r="C3927"/>
      <c r="M3927"/>
    </row>
    <row r="3928" spans="3:13" ht="12.75" customHeight="1" x14ac:dyDescent="0.2">
      <c r="C3928"/>
      <c r="M3928"/>
    </row>
    <row r="3929" spans="3:13" ht="12.75" customHeight="1" x14ac:dyDescent="0.2">
      <c r="C3929"/>
      <c r="M3929"/>
    </row>
    <row r="3930" spans="3:13" ht="12.75" customHeight="1" x14ac:dyDescent="0.2">
      <c r="C3930"/>
      <c r="M3930"/>
    </row>
    <row r="3931" spans="3:13" ht="12.75" customHeight="1" x14ac:dyDescent="0.2">
      <c r="C3931"/>
      <c r="M3931"/>
    </row>
    <row r="3932" spans="3:13" ht="12.75" customHeight="1" x14ac:dyDescent="0.2">
      <c r="C3932"/>
      <c r="M3932"/>
    </row>
    <row r="3933" spans="3:13" ht="12.75" customHeight="1" x14ac:dyDescent="0.2">
      <c r="C3933"/>
      <c r="M3933"/>
    </row>
    <row r="3934" spans="3:13" ht="12.75" customHeight="1" x14ac:dyDescent="0.2">
      <c r="C3934"/>
      <c r="M3934"/>
    </row>
    <row r="3935" spans="3:13" ht="12.75" customHeight="1" x14ac:dyDescent="0.2">
      <c r="C3935"/>
      <c r="M3935"/>
    </row>
    <row r="3936" spans="3:13" ht="12.75" customHeight="1" x14ac:dyDescent="0.2">
      <c r="C3936"/>
      <c r="M3936"/>
    </row>
    <row r="3937" spans="3:13" ht="12.75" customHeight="1" x14ac:dyDescent="0.2">
      <c r="C3937"/>
      <c r="M3937"/>
    </row>
    <row r="3938" spans="3:13" ht="12.75" customHeight="1" x14ac:dyDescent="0.2">
      <c r="C3938"/>
      <c r="M3938"/>
    </row>
    <row r="3939" spans="3:13" ht="12.75" customHeight="1" x14ac:dyDescent="0.2">
      <c r="C3939"/>
      <c r="M3939"/>
    </row>
    <row r="3940" spans="3:13" ht="12.75" customHeight="1" x14ac:dyDescent="0.2">
      <c r="C3940"/>
      <c r="M3940"/>
    </row>
    <row r="3941" spans="3:13" ht="12.75" customHeight="1" x14ac:dyDescent="0.2">
      <c r="C3941"/>
      <c r="M3941"/>
    </row>
    <row r="3942" spans="3:13" ht="12.75" customHeight="1" x14ac:dyDescent="0.2">
      <c r="C3942"/>
      <c r="M3942"/>
    </row>
    <row r="3943" spans="3:13" ht="12.75" customHeight="1" x14ac:dyDescent="0.2">
      <c r="C3943"/>
      <c r="M3943"/>
    </row>
    <row r="3944" spans="3:13" ht="12.75" customHeight="1" x14ac:dyDescent="0.2">
      <c r="C3944"/>
      <c r="M3944"/>
    </row>
    <row r="3945" spans="3:13" ht="12.75" customHeight="1" x14ac:dyDescent="0.2">
      <c r="C3945"/>
      <c r="M3945"/>
    </row>
    <row r="3946" spans="3:13" ht="12.75" customHeight="1" x14ac:dyDescent="0.2">
      <c r="C3946"/>
      <c r="M3946"/>
    </row>
    <row r="3947" spans="3:13" ht="12.75" customHeight="1" x14ac:dyDescent="0.2">
      <c r="C3947"/>
      <c r="M3947"/>
    </row>
    <row r="3948" spans="3:13" ht="12.75" customHeight="1" x14ac:dyDescent="0.2">
      <c r="C3948"/>
      <c r="M3948"/>
    </row>
    <row r="3949" spans="3:13" ht="12.75" customHeight="1" x14ac:dyDescent="0.2">
      <c r="C3949"/>
      <c r="M3949"/>
    </row>
    <row r="3950" spans="3:13" ht="12.75" customHeight="1" x14ac:dyDescent="0.2">
      <c r="C3950"/>
      <c r="M3950"/>
    </row>
    <row r="3951" spans="3:13" ht="12.75" customHeight="1" x14ac:dyDescent="0.2">
      <c r="C3951"/>
      <c r="M3951"/>
    </row>
    <row r="3952" spans="3:13" ht="12.75" customHeight="1" x14ac:dyDescent="0.2">
      <c r="C3952"/>
      <c r="M3952"/>
    </row>
    <row r="3953" spans="3:13" ht="12.75" customHeight="1" x14ac:dyDescent="0.2">
      <c r="C3953"/>
      <c r="M3953"/>
    </row>
    <row r="3954" spans="3:13" ht="12.75" customHeight="1" x14ac:dyDescent="0.2">
      <c r="C3954"/>
      <c r="M3954"/>
    </row>
    <row r="3955" spans="3:13" ht="12.75" customHeight="1" x14ac:dyDescent="0.2">
      <c r="C3955"/>
      <c r="M3955"/>
    </row>
    <row r="3956" spans="3:13" ht="12.75" customHeight="1" x14ac:dyDescent="0.2">
      <c r="C3956"/>
      <c r="M3956"/>
    </row>
    <row r="3957" spans="3:13" ht="12.75" customHeight="1" x14ac:dyDescent="0.2">
      <c r="C3957"/>
      <c r="M3957"/>
    </row>
    <row r="3958" spans="3:13" ht="12.75" customHeight="1" x14ac:dyDescent="0.2">
      <c r="C3958"/>
      <c r="M3958"/>
    </row>
    <row r="3959" spans="3:13" ht="12.75" customHeight="1" x14ac:dyDescent="0.2">
      <c r="C3959"/>
      <c r="M3959"/>
    </row>
    <row r="3960" spans="3:13" ht="12.75" customHeight="1" x14ac:dyDescent="0.2">
      <c r="C3960"/>
      <c r="M3960"/>
    </row>
    <row r="3961" spans="3:13" ht="12.75" customHeight="1" x14ac:dyDescent="0.2">
      <c r="C3961"/>
      <c r="M3961"/>
    </row>
    <row r="3962" spans="3:13" ht="12.75" customHeight="1" x14ac:dyDescent="0.2">
      <c r="C3962"/>
      <c r="M3962"/>
    </row>
    <row r="3963" spans="3:13" ht="12.75" customHeight="1" x14ac:dyDescent="0.2">
      <c r="C3963"/>
      <c r="M3963"/>
    </row>
    <row r="3964" spans="3:13" ht="12.75" customHeight="1" x14ac:dyDescent="0.2">
      <c r="C3964"/>
      <c r="M3964"/>
    </row>
    <row r="3965" spans="3:13" ht="12.75" customHeight="1" x14ac:dyDescent="0.2">
      <c r="C3965"/>
      <c r="M3965"/>
    </row>
    <row r="3966" spans="3:13" ht="12.75" customHeight="1" x14ac:dyDescent="0.2">
      <c r="C3966"/>
      <c r="M3966"/>
    </row>
    <row r="3967" spans="3:13" ht="12.75" customHeight="1" x14ac:dyDescent="0.2">
      <c r="C3967"/>
      <c r="M3967"/>
    </row>
    <row r="3968" spans="3:13" ht="12.75" customHeight="1" x14ac:dyDescent="0.2">
      <c r="C3968"/>
      <c r="M3968"/>
    </row>
    <row r="3969" spans="3:13" ht="12.75" customHeight="1" x14ac:dyDescent="0.2">
      <c r="C3969"/>
      <c r="M3969"/>
    </row>
    <row r="3970" spans="3:13" ht="12.75" customHeight="1" x14ac:dyDescent="0.2">
      <c r="C3970"/>
      <c r="M3970"/>
    </row>
    <row r="3971" spans="3:13" ht="12.75" customHeight="1" x14ac:dyDescent="0.2">
      <c r="C3971"/>
      <c r="M3971"/>
    </row>
    <row r="3972" spans="3:13" ht="12.75" customHeight="1" x14ac:dyDescent="0.2">
      <c r="C3972"/>
      <c r="M3972"/>
    </row>
    <row r="3973" spans="3:13" ht="12.75" customHeight="1" x14ac:dyDescent="0.2">
      <c r="C3973"/>
      <c r="M3973"/>
    </row>
    <row r="3974" spans="3:13" ht="12.75" customHeight="1" x14ac:dyDescent="0.2">
      <c r="C3974"/>
      <c r="M3974"/>
    </row>
    <row r="3975" spans="3:13" ht="12.75" customHeight="1" x14ac:dyDescent="0.2">
      <c r="C3975"/>
      <c r="M3975"/>
    </row>
    <row r="3976" spans="3:13" ht="12.75" customHeight="1" x14ac:dyDescent="0.2">
      <c r="C3976"/>
      <c r="M3976"/>
    </row>
    <row r="3977" spans="3:13" ht="12.75" customHeight="1" x14ac:dyDescent="0.2">
      <c r="C3977"/>
      <c r="M3977"/>
    </row>
    <row r="3978" spans="3:13" ht="12.75" customHeight="1" x14ac:dyDescent="0.2">
      <c r="C3978"/>
      <c r="M3978"/>
    </row>
    <row r="3979" spans="3:13" ht="12.75" customHeight="1" x14ac:dyDescent="0.2">
      <c r="C3979"/>
      <c r="M3979"/>
    </row>
    <row r="3980" spans="3:13" ht="12.75" customHeight="1" x14ac:dyDescent="0.2">
      <c r="C3980"/>
      <c r="M3980"/>
    </row>
    <row r="3981" spans="3:13" ht="12.75" customHeight="1" x14ac:dyDescent="0.2">
      <c r="C3981"/>
      <c r="M3981"/>
    </row>
    <row r="3982" spans="3:13" ht="12.75" customHeight="1" x14ac:dyDescent="0.2">
      <c r="C3982"/>
      <c r="M3982"/>
    </row>
    <row r="3983" spans="3:13" ht="12.75" customHeight="1" x14ac:dyDescent="0.2">
      <c r="C3983"/>
      <c r="M3983"/>
    </row>
    <row r="3984" spans="3:13" ht="12.75" customHeight="1" x14ac:dyDescent="0.2">
      <c r="C3984"/>
      <c r="M3984"/>
    </row>
    <row r="3985" spans="3:13" ht="12.75" customHeight="1" x14ac:dyDescent="0.2">
      <c r="C3985"/>
      <c r="M3985"/>
    </row>
    <row r="3986" spans="3:13" ht="12.75" customHeight="1" x14ac:dyDescent="0.2">
      <c r="C3986"/>
      <c r="M3986"/>
    </row>
    <row r="3987" spans="3:13" ht="12.75" customHeight="1" x14ac:dyDescent="0.2">
      <c r="C3987"/>
      <c r="M3987"/>
    </row>
    <row r="3988" spans="3:13" ht="12.75" customHeight="1" x14ac:dyDescent="0.2">
      <c r="C3988"/>
      <c r="M3988"/>
    </row>
    <row r="3989" spans="3:13" ht="12.75" customHeight="1" x14ac:dyDescent="0.2">
      <c r="C3989"/>
      <c r="M3989"/>
    </row>
    <row r="3990" spans="3:13" ht="12.75" customHeight="1" x14ac:dyDescent="0.2">
      <c r="C3990"/>
      <c r="M3990"/>
    </row>
    <row r="3991" spans="3:13" ht="12.75" customHeight="1" x14ac:dyDescent="0.2">
      <c r="C3991"/>
      <c r="M3991"/>
    </row>
    <row r="3992" spans="3:13" ht="12.75" customHeight="1" x14ac:dyDescent="0.2">
      <c r="C3992"/>
      <c r="M3992"/>
    </row>
    <row r="3993" spans="3:13" ht="12.75" customHeight="1" x14ac:dyDescent="0.2">
      <c r="C3993"/>
      <c r="M3993"/>
    </row>
    <row r="3994" spans="3:13" ht="12.75" customHeight="1" x14ac:dyDescent="0.2">
      <c r="C3994"/>
      <c r="M3994"/>
    </row>
    <row r="3995" spans="3:13" ht="12.75" customHeight="1" x14ac:dyDescent="0.2">
      <c r="C3995"/>
      <c r="M3995"/>
    </row>
    <row r="3996" spans="3:13" ht="12.75" customHeight="1" x14ac:dyDescent="0.2">
      <c r="C3996"/>
      <c r="M3996"/>
    </row>
    <row r="3997" spans="3:13" ht="12.75" customHeight="1" x14ac:dyDescent="0.2">
      <c r="C3997"/>
      <c r="M3997"/>
    </row>
    <row r="3998" spans="3:13" ht="12.75" customHeight="1" x14ac:dyDescent="0.2">
      <c r="C3998"/>
      <c r="M3998"/>
    </row>
    <row r="3999" spans="3:13" ht="12.75" customHeight="1" x14ac:dyDescent="0.2">
      <c r="C3999"/>
      <c r="M3999"/>
    </row>
    <row r="4000" spans="3:13" ht="12.75" customHeight="1" x14ac:dyDescent="0.2">
      <c r="C4000"/>
      <c r="M4000"/>
    </row>
    <row r="4001" spans="3:13" ht="12.75" customHeight="1" x14ac:dyDescent="0.2">
      <c r="C4001"/>
      <c r="M4001"/>
    </row>
    <row r="4002" spans="3:13" ht="12.75" customHeight="1" x14ac:dyDescent="0.2">
      <c r="C4002"/>
      <c r="M4002"/>
    </row>
    <row r="4003" spans="3:13" ht="12.75" customHeight="1" x14ac:dyDescent="0.2">
      <c r="C4003"/>
      <c r="M4003"/>
    </row>
    <row r="4004" spans="3:13" ht="12.75" customHeight="1" x14ac:dyDescent="0.2">
      <c r="C4004"/>
      <c r="M4004"/>
    </row>
    <row r="4005" spans="3:13" ht="12.75" customHeight="1" x14ac:dyDescent="0.2">
      <c r="C4005"/>
      <c r="M4005"/>
    </row>
    <row r="4006" spans="3:13" ht="12.75" customHeight="1" x14ac:dyDescent="0.2">
      <c r="C4006"/>
      <c r="M4006"/>
    </row>
    <row r="4007" spans="3:13" ht="12.75" customHeight="1" x14ac:dyDescent="0.2">
      <c r="C4007"/>
      <c r="M4007"/>
    </row>
    <row r="4008" spans="3:13" ht="12.75" customHeight="1" x14ac:dyDescent="0.2">
      <c r="C4008"/>
      <c r="M4008"/>
    </row>
    <row r="4009" spans="3:13" ht="12.75" customHeight="1" x14ac:dyDescent="0.2">
      <c r="C4009"/>
      <c r="M4009"/>
    </row>
    <row r="4010" spans="3:13" ht="12.75" customHeight="1" x14ac:dyDescent="0.2">
      <c r="C4010"/>
      <c r="M4010"/>
    </row>
    <row r="4011" spans="3:13" ht="12.75" customHeight="1" x14ac:dyDescent="0.2">
      <c r="C4011"/>
      <c r="M4011"/>
    </row>
    <row r="4012" spans="3:13" ht="12.75" customHeight="1" x14ac:dyDescent="0.2">
      <c r="C4012"/>
      <c r="M4012"/>
    </row>
    <row r="4013" spans="3:13" ht="12.75" customHeight="1" x14ac:dyDescent="0.2">
      <c r="C4013"/>
      <c r="M4013"/>
    </row>
    <row r="4014" spans="3:13" ht="12.75" customHeight="1" x14ac:dyDescent="0.2">
      <c r="C4014"/>
      <c r="M4014"/>
    </row>
    <row r="4015" spans="3:13" ht="12.75" customHeight="1" x14ac:dyDescent="0.2">
      <c r="C4015"/>
      <c r="M4015"/>
    </row>
    <row r="4016" spans="3:13" ht="12.75" customHeight="1" x14ac:dyDescent="0.2">
      <c r="C4016"/>
      <c r="M4016"/>
    </row>
    <row r="4017" spans="3:13" ht="12.75" customHeight="1" x14ac:dyDescent="0.2">
      <c r="C4017"/>
      <c r="M4017"/>
    </row>
    <row r="4018" spans="3:13" ht="12.75" customHeight="1" x14ac:dyDescent="0.2">
      <c r="C4018"/>
      <c r="M4018"/>
    </row>
    <row r="4019" spans="3:13" ht="12.75" customHeight="1" x14ac:dyDescent="0.2">
      <c r="C4019"/>
      <c r="M4019"/>
    </row>
    <row r="4020" spans="3:13" ht="12.75" customHeight="1" x14ac:dyDescent="0.2">
      <c r="C4020"/>
      <c r="M4020"/>
    </row>
    <row r="4021" spans="3:13" ht="12.75" customHeight="1" x14ac:dyDescent="0.2">
      <c r="C4021"/>
      <c r="M4021"/>
    </row>
    <row r="4022" spans="3:13" ht="12.75" customHeight="1" x14ac:dyDescent="0.2">
      <c r="C4022"/>
      <c r="M4022"/>
    </row>
    <row r="4023" spans="3:13" ht="12.75" customHeight="1" x14ac:dyDescent="0.2">
      <c r="C4023"/>
      <c r="M4023"/>
    </row>
    <row r="4024" spans="3:13" ht="12.75" customHeight="1" x14ac:dyDescent="0.2">
      <c r="C4024"/>
      <c r="M4024"/>
    </row>
    <row r="4025" spans="3:13" ht="12.75" customHeight="1" x14ac:dyDescent="0.2">
      <c r="C4025"/>
      <c r="M4025"/>
    </row>
    <row r="4026" spans="3:13" ht="12.75" customHeight="1" x14ac:dyDescent="0.2">
      <c r="C4026"/>
      <c r="M4026"/>
    </row>
    <row r="4027" spans="3:13" ht="12.75" customHeight="1" x14ac:dyDescent="0.2">
      <c r="C4027"/>
      <c r="M4027"/>
    </row>
    <row r="4028" spans="3:13" ht="12.75" customHeight="1" x14ac:dyDescent="0.2">
      <c r="C4028"/>
      <c r="M4028"/>
    </row>
    <row r="4029" spans="3:13" ht="12.75" customHeight="1" x14ac:dyDescent="0.2">
      <c r="C4029"/>
      <c r="M4029"/>
    </row>
    <row r="4030" spans="3:13" ht="12.75" customHeight="1" x14ac:dyDescent="0.2">
      <c r="C4030"/>
      <c r="M4030"/>
    </row>
    <row r="4031" spans="3:13" ht="12.75" customHeight="1" x14ac:dyDescent="0.2">
      <c r="C4031"/>
      <c r="M4031"/>
    </row>
    <row r="4032" spans="3:13" ht="12.75" customHeight="1" x14ac:dyDescent="0.2">
      <c r="C4032"/>
      <c r="M4032"/>
    </row>
    <row r="4033" spans="3:13" ht="12.75" customHeight="1" x14ac:dyDescent="0.2">
      <c r="C4033"/>
      <c r="M4033"/>
    </row>
    <row r="4034" spans="3:13" ht="12.75" customHeight="1" x14ac:dyDescent="0.2">
      <c r="C4034"/>
      <c r="M4034"/>
    </row>
    <row r="4035" spans="3:13" ht="12.75" customHeight="1" x14ac:dyDescent="0.2">
      <c r="C4035"/>
      <c r="M4035"/>
    </row>
    <row r="4036" spans="3:13" ht="12.75" customHeight="1" x14ac:dyDescent="0.2">
      <c r="C4036"/>
      <c r="M4036"/>
    </row>
    <row r="4037" spans="3:13" ht="12.75" customHeight="1" x14ac:dyDescent="0.2">
      <c r="C4037"/>
      <c r="M4037"/>
    </row>
    <row r="4038" spans="3:13" ht="12.75" customHeight="1" x14ac:dyDescent="0.2">
      <c r="C4038"/>
      <c r="M4038"/>
    </row>
    <row r="4039" spans="3:13" ht="12.75" customHeight="1" x14ac:dyDescent="0.2">
      <c r="C4039"/>
      <c r="M4039"/>
    </row>
    <row r="4040" spans="3:13" ht="12.75" customHeight="1" x14ac:dyDescent="0.2">
      <c r="C4040"/>
      <c r="M4040"/>
    </row>
    <row r="4041" spans="3:13" ht="12.75" customHeight="1" x14ac:dyDescent="0.2">
      <c r="C4041"/>
      <c r="M4041"/>
    </row>
    <row r="4042" spans="3:13" ht="12.75" customHeight="1" x14ac:dyDescent="0.2">
      <c r="C4042"/>
      <c r="M4042"/>
    </row>
    <row r="4043" spans="3:13" ht="12.75" customHeight="1" x14ac:dyDescent="0.2">
      <c r="C4043"/>
      <c r="M4043"/>
    </row>
    <row r="4044" spans="3:13" ht="12.75" customHeight="1" x14ac:dyDescent="0.2">
      <c r="C4044"/>
      <c r="M4044"/>
    </row>
    <row r="4045" spans="3:13" ht="12.75" customHeight="1" x14ac:dyDescent="0.2">
      <c r="C4045"/>
      <c r="M4045"/>
    </row>
    <row r="4046" spans="3:13" ht="12.75" customHeight="1" x14ac:dyDescent="0.2">
      <c r="C4046"/>
      <c r="M4046"/>
    </row>
    <row r="4047" spans="3:13" ht="12.75" customHeight="1" x14ac:dyDescent="0.2">
      <c r="C4047"/>
      <c r="M4047"/>
    </row>
    <row r="4048" spans="3:13" ht="12.75" customHeight="1" x14ac:dyDescent="0.2">
      <c r="C4048"/>
      <c r="M4048"/>
    </row>
    <row r="4049" spans="3:13" ht="12.75" customHeight="1" x14ac:dyDescent="0.2">
      <c r="C4049"/>
      <c r="M4049"/>
    </row>
    <row r="4050" spans="3:13" ht="12.75" customHeight="1" x14ac:dyDescent="0.2">
      <c r="C4050"/>
      <c r="M4050"/>
    </row>
    <row r="4051" spans="3:13" ht="12.75" customHeight="1" x14ac:dyDescent="0.2">
      <c r="C4051"/>
      <c r="M4051"/>
    </row>
    <row r="4052" spans="3:13" ht="12.75" customHeight="1" x14ac:dyDescent="0.2">
      <c r="C4052"/>
      <c r="M4052"/>
    </row>
    <row r="4053" spans="3:13" ht="12.75" customHeight="1" x14ac:dyDescent="0.2">
      <c r="C4053"/>
      <c r="M4053"/>
    </row>
    <row r="4054" spans="3:13" ht="12.75" customHeight="1" x14ac:dyDescent="0.2">
      <c r="C4054"/>
      <c r="M4054"/>
    </row>
    <row r="4055" spans="3:13" ht="12.75" customHeight="1" x14ac:dyDescent="0.2">
      <c r="C4055"/>
      <c r="M4055"/>
    </row>
    <row r="4056" spans="3:13" ht="12.75" customHeight="1" x14ac:dyDescent="0.2">
      <c r="C4056"/>
      <c r="M4056"/>
    </row>
    <row r="4057" spans="3:13" ht="12.75" customHeight="1" x14ac:dyDescent="0.2">
      <c r="C4057"/>
      <c r="M4057"/>
    </row>
    <row r="4058" spans="3:13" ht="12.75" customHeight="1" x14ac:dyDescent="0.2">
      <c r="C4058"/>
      <c r="M4058"/>
    </row>
    <row r="4059" spans="3:13" ht="12.75" customHeight="1" x14ac:dyDescent="0.2">
      <c r="C4059"/>
      <c r="M4059"/>
    </row>
    <row r="4060" spans="3:13" ht="12.75" customHeight="1" x14ac:dyDescent="0.2">
      <c r="C4060"/>
      <c r="M4060"/>
    </row>
    <row r="4061" spans="3:13" ht="12.75" customHeight="1" x14ac:dyDescent="0.2">
      <c r="C4061"/>
      <c r="M4061"/>
    </row>
    <row r="4062" spans="3:13" ht="12.75" customHeight="1" x14ac:dyDescent="0.2">
      <c r="C4062"/>
      <c r="M4062"/>
    </row>
    <row r="4063" spans="3:13" ht="12.75" customHeight="1" x14ac:dyDescent="0.2">
      <c r="C4063"/>
      <c r="M4063"/>
    </row>
    <row r="4064" spans="3:13" ht="12.75" customHeight="1" x14ac:dyDescent="0.2">
      <c r="C4064"/>
      <c r="M4064"/>
    </row>
    <row r="4065" spans="3:13" ht="12.75" customHeight="1" x14ac:dyDescent="0.2">
      <c r="C4065"/>
      <c r="M4065"/>
    </row>
    <row r="4066" spans="3:13" ht="12.75" customHeight="1" x14ac:dyDescent="0.2">
      <c r="C4066"/>
      <c r="M4066"/>
    </row>
    <row r="4067" spans="3:13" ht="12.75" customHeight="1" x14ac:dyDescent="0.2">
      <c r="C4067"/>
      <c r="M4067"/>
    </row>
    <row r="4068" spans="3:13" ht="12.75" customHeight="1" x14ac:dyDescent="0.2">
      <c r="C4068"/>
      <c r="M4068"/>
    </row>
    <row r="4069" spans="3:13" ht="12.75" customHeight="1" x14ac:dyDescent="0.2">
      <c r="C4069"/>
      <c r="M4069"/>
    </row>
    <row r="4070" spans="3:13" ht="12.75" customHeight="1" x14ac:dyDescent="0.2">
      <c r="C4070"/>
      <c r="M4070"/>
    </row>
    <row r="4071" spans="3:13" ht="12.75" customHeight="1" x14ac:dyDescent="0.2">
      <c r="C4071"/>
      <c r="M4071"/>
    </row>
    <row r="4072" spans="3:13" ht="12.75" customHeight="1" x14ac:dyDescent="0.2">
      <c r="C4072"/>
      <c r="M4072"/>
    </row>
    <row r="4073" spans="3:13" ht="12.75" customHeight="1" x14ac:dyDescent="0.2">
      <c r="C4073"/>
      <c r="M4073"/>
    </row>
    <row r="4074" spans="3:13" ht="12.75" customHeight="1" x14ac:dyDescent="0.2">
      <c r="C4074"/>
      <c r="M4074"/>
    </row>
    <row r="4075" spans="3:13" ht="12.75" customHeight="1" x14ac:dyDescent="0.2">
      <c r="C4075"/>
      <c r="M4075"/>
    </row>
    <row r="4076" spans="3:13" ht="12.75" customHeight="1" x14ac:dyDescent="0.2">
      <c r="C4076"/>
      <c r="M4076"/>
    </row>
    <row r="4077" spans="3:13" ht="12.75" customHeight="1" x14ac:dyDescent="0.2">
      <c r="C4077"/>
      <c r="M4077"/>
    </row>
    <row r="4078" spans="3:13" ht="12.75" customHeight="1" x14ac:dyDescent="0.2">
      <c r="C4078"/>
      <c r="M4078"/>
    </row>
    <row r="4079" spans="3:13" ht="12.75" customHeight="1" x14ac:dyDescent="0.2">
      <c r="C4079"/>
      <c r="M4079"/>
    </row>
    <row r="4080" spans="3:13" ht="12.75" customHeight="1" x14ac:dyDescent="0.2">
      <c r="C4080"/>
      <c r="M4080"/>
    </row>
    <row r="4081" spans="3:13" ht="12.75" customHeight="1" x14ac:dyDescent="0.2">
      <c r="C4081"/>
      <c r="M4081"/>
    </row>
    <row r="4082" spans="3:13" ht="12.75" customHeight="1" x14ac:dyDescent="0.2">
      <c r="C4082"/>
      <c r="M4082"/>
    </row>
    <row r="4083" spans="3:13" ht="12.75" customHeight="1" x14ac:dyDescent="0.2">
      <c r="C4083"/>
      <c r="M4083"/>
    </row>
    <row r="4084" spans="3:13" ht="12.75" customHeight="1" x14ac:dyDescent="0.2">
      <c r="C4084"/>
      <c r="M4084"/>
    </row>
    <row r="4085" spans="3:13" ht="12.75" customHeight="1" x14ac:dyDescent="0.2">
      <c r="C4085"/>
      <c r="M4085"/>
    </row>
    <row r="4086" spans="3:13" ht="12.75" customHeight="1" x14ac:dyDescent="0.2">
      <c r="C4086"/>
      <c r="M4086"/>
    </row>
    <row r="4087" spans="3:13" ht="12.75" customHeight="1" x14ac:dyDescent="0.2">
      <c r="C4087"/>
      <c r="M4087"/>
    </row>
    <row r="4088" spans="3:13" ht="12.75" customHeight="1" x14ac:dyDescent="0.2">
      <c r="C4088"/>
      <c r="M4088"/>
    </row>
    <row r="4089" spans="3:13" ht="12.75" customHeight="1" x14ac:dyDescent="0.2">
      <c r="C4089"/>
      <c r="M4089"/>
    </row>
    <row r="4090" spans="3:13" ht="12.75" customHeight="1" x14ac:dyDescent="0.2">
      <c r="C4090"/>
      <c r="M4090"/>
    </row>
    <row r="4091" spans="3:13" ht="12.75" customHeight="1" x14ac:dyDescent="0.2">
      <c r="C4091"/>
      <c r="M4091"/>
    </row>
    <row r="4092" spans="3:13" ht="12.75" customHeight="1" x14ac:dyDescent="0.2">
      <c r="C4092"/>
      <c r="M4092"/>
    </row>
    <row r="4093" spans="3:13" ht="12.75" customHeight="1" x14ac:dyDescent="0.2">
      <c r="C4093"/>
      <c r="M4093"/>
    </row>
    <row r="4094" spans="3:13" ht="12.75" customHeight="1" x14ac:dyDescent="0.2">
      <c r="C4094"/>
      <c r="M4094"/>
    </row>
    <row r="4095" spans="3:13" ht="12.75" customHeight="1" x14ac:dyDescent="0.2">
      <c r="C4095"/>
      <c r="M4095"/>
    </row>
    <row r="4096" spans="3:13" ht="12.75" customHeight="1" x14ac:dyDescent="0.2">
      <c r="C4096"/>
      <c r="M4096"/>
    </row>
    <row r="4097" spans="3:13" ht="12.75" customHeight="1" x14ac:dyDescent="0.2">
      <c r="C4097"/>
      <c r="M4097"/>
    </row>
    <row r="4098" spans="3:13" ht="12.75" customHeight="1" x14ac:dyDescent="0.2">
      <c r="C4098"/>
      <c r="M4098"/>
    </row>
    <row r="4099" spans="3:13" ht="12.75" customHeight="1" x14ac:dyDescent="0.2">
      <c r="C4099"/>
      <c r="M4099"/>
    </row>
    <row r="4100" spans="3:13" ht="12.75" customHeight="1" x14ac:dyDescent="0.2">
      <c r="C4100"/>
      <c r="M4100"/>
    </row>
    <row r="4101" spans="3:13" ht="12.75" customHeight="1" x14ac:dyDescent="0.2">
      <c r="C4101"/>
      <c r="M4101"/>
    </row>
    <row r="4102" spans="3:13" ht="12.75" customHeight="1" x14ac:dyDescent="0.2">
      <c r="C4102"/>
      <c r="M4102"/>
    </row>
    <row r="4103" spans="3:13" ht="12.75" customHeight="1" x14ac:dyDescent="0.2">
      <c r="C4103"/>
      <c r="M4103"/>
    </row>
    <row r="4104" spans="3:13" ht="12.75" customHeight="1" x14ac:dyDescent="0.2">
      <c r="C4104"/>
      <c r="M4104"/>
    </row>
    <row r="4105" spans="3:13" ht="12.75" customHeight="1" x14ac:dyDescent="0.2">
      <c r="C4105"/>
      <c r="M4105"/>
    </row>
    <row r="4106" spans="3:13" ht="12.75" customHeight="1" x14ac:dyDescent="0.2">
      <c r="C4106"/>
      <c r="M4106"/>
    </row>
    <row r="4107" spans="3:13" ht="12.75" customHeight="1" x14ac:dyDescent="0.2">
      <c r="C4107"/>
      <c r="M4107"/>
    </row>
    <row r="4108" spans="3:13" ht="12.75" customHeight="1" x14ac:dyDescent="0.2">
      <c r="C4108"/>
      <c r="M4108"/>
    </row>
    <row r="4109" spans="3:13" ht="12.75" customHeight="1" x14ac:dyDescent="0.2">
      <c r="C4109"/>
      <c r="M4109"/>
    </row>
    <row r="4110" spans="3:13" ht="12.75" customHeight="1" x14ac:dyDescent="0.2">
      <c r="C4110"/>
      <c r="M4110"/>
    </row>
    <row r="4111" spans="3:13" ht="12.75" customHeight="1" x14ac:dyDescent="0.2">
      <c r="C4111"/>
      <c r="M4111"/>
    </row>
    <row r="4112" spans="3:13" ht="12.75" customHeight="1" x14ac:dyDescent="0.2">
      <c r="C4112"/>
      <c r="M4112"/>
    </row>
    <row r="4113" spans="3:13" ht="12.75" customHeight="1" x14ac:dyDescent="0.2">
      <c r="C4113"/>
      <c r="M4113"/>
    </row>
    <row r="4114" spans="3:13" ht="12.75" customHeight="1" x14ac:dyDescent="0.2">
      <c r="C4114"/>
      <c r="M4114"/>
    </row>
    <row r="4115" spans="3:13" ht="12.75" customHeight="1" x14ac:dyDescent="0.2">
      <c r="C4115"/>
      <c r="M4115"/>
    </row>
    <row r="4116" spans="3:13" ht="12.75" customHeight="1" x14ac:dyDescent="0.2">
      <c r="C4116"/>
      <c r="M4116"/>
    </row>
    <row r="4117" spans="3:13" ht="12.75" customHeight="1" x14ac:dyDescent="0.2">
      <c r="C4117"/>
      <c r="M4117"/>
    </row>
    <row r="4118" spans="3:13" ht="12.75" customHeight="1" x14ac:dyDescent="0.2">
      <c r="C4118"/>
      <c r="M4118"/>
    </row>
    <row r="4119" spans="3:13" ht="12.75" customHeight="1" x14ac:dyDescent="0.2">
      <c r="C4119"/>
      <c r="M4119"/>
    </row>
    <row r="4120" spans="3:13" ht="12.75" customHeight="1" x14ac:dyDescent="0.2">
      <c r="C4120"/>
      <c r="M4120"/>
    </row>
    <row r="4121" spans="3:13" ht="12.75" customHeight="1" x14ac:dyDescent="0.2">
      <c r="C4121"/>
      <c r="M4121"/>
    </row>
    <row r="4122" spans="3:13" ht="12.75" customHeight="1" x14ac:dyDescent="0.2">
      <c r="C4122"/>
      <c r="M4122"/>
    </row>
    <row r="4123" spans="3:13" ht="12.75" customHeight="1" x14ac:dyDescent="0.2">
      <c r="C4123"/>
      <c r="M4123"/>
    </row>
    <row r="4124" spans="3:13" ht="12.75" customHeight="1" x14ac:dyDescent="0.2">
      <c r="C4124"/>
      <c r="M4124"/>
    </row>
    <row r="4125" spans="3:13" ht="12.75" customHeight="1" x14ac:dyDescent="0.2">
      <c r="C4125"/>
      <c r="M4125"/>
    </row>
    <row r="4126" spans="3:13" ht="12.75" customHeight="1" x14ac:dyDescent="0.2">
      <c r="C4126"/>
      <c r="M4126"/>
    </row>
    <row r="4127" spans="3:13" ht="12.75" customHeight="1" x14ac:dyDescent="0.2">
      <c r="C4127"/>
      <c r="M4127"/>
    </row>
    <row r="4128" spans="3:13" ht="12.75" customHeight="1" x14ac:dyDescent="0.2">
      <c r="C4128"/>
      <c r="M4128"/>
    </row>
    <row r="4129" spans="3:13" ht="12.75" customHeight="1" x14ac:dyDescent="0.2">
      <c r="C4129"/>
      <c r="M4129"/>
    </row>
    <row r="4130" spans="3:13" ht="12.75" customHeight="1" x14ac:dyDescent="0.2">
      <c r="C4130"/>
      <c r="M4130"/>
    </row>
    <row r="4131" spans="3:13" ht="12.75" customHeight="1" x14ac:dyDescent="0.2">
      <c r="C4131"/>
      <c r="M4131"/>
    </row>
    <row r="4132" spans="3:13" ht="12.75" customHeight="1" x14ac:dyDescent="0.2">
      <c r="C4132"/>
      <c r="M4132"/>
    </row>
    <row r="4133" spans="3:13" ht="12.75" customHeight="1" x14ac:dyDescent="0.2">
      <c r="C4133"/>
      <c r="M4133"/>
    </row>
    <row r="4134" spans="3:13" ht="12.75" customHeight="1" x14ac:dyDescent="0.2">
      <c r="C4134"/>
      <c r="M4134"/>
    </row>
    <row r="4135" spans="3:13" ht="12.75" customHeight="1" x14ac:dyDescent="0.2">
      <c r="C4135"/>
      <c r="M4135"/>
    </row>
    <row r="4136" spans="3:13" ht="12.75" customHeight="1" x14ac:dyDescent="0.2">
      <c r="C4136"/>
      <c r="M4136"/>
    </row>
    <row r="4137" spans="3:13" ht="12.75" customHeight="1" x14ac:dyDescent="0.2">
      <c r="C4137"/>
      <c r="M4137"/>
    </row>
    <row r="4138" spans="3:13" ht="12.75" customHeight="1" x14ac:dyDescent="0.2">
      <c r="C4138"/>
      <c r="M4138"/>
    </row>
    <row r="4139" spans="3:13" ht="12.75" customHeight="1" x14ac:dyDescent="0.2">
      <c r="C4139"/>
      <c r="M4139"/>
    </row>
    <row r="4140" spans="3:13" ht="12.75" customHeight="1" x14ac:dyDescent="0.2">
      <c r="C4140"/>
      <c r="M4140"/>
    </row>
    <row r="4141" spans="3:13" ht="12.75" customHeight="1" x14ac:dyDescent="0.2">
      <c r="C4141"/>
      <c r="M4141"/>
    </row>
    <row r="4142" spans="3:13" ht="12.75" customHeight="1" x14ac:dyDescent="0.2">
      <c r="C4142"/>
      <c r="M4142"/>
    </row>
    <row r="4143" spans="3:13" ht="12.75" customHeight="1" x14ac:dyDescent="0.2">
      <c r="C4143"/>
      <c r="M4143"/>
    </row>
    <row r="4144" spans="3:13" ht="12.75" customHeight="1" x14ac:dyDescent="0.2">
      <c r="C4144"/>
      <c r="M4144"/>
    </row>
    <row r="4145" spans="3:13" ht="12.75" customHeight="1" x14ac:dyDescent="0.2">
      <c r="C4145"/>
      <c r="M4145"/>
    </row>
    <row r="4146" spans="3:13" ht="12.75" customHeight="1" x14ac:dyDescent="0.2">
      <c r="C4146"/>
      <c r="M4146"/>
    </row>
    <row r="4147" spans="3:13" ht="12.75" customHeight="1" x14ac:dyDescent="0.2">
      <c r="C4147"/>
      <c r="M4147"/>
    </row>
    <row r="4148" spans="3:13" ht="12.75" customHeight="1" x14ac:dyDescent="0.2">
      <c r="C4148"/>
      <c r="M4148"/>
    </row>
    <row r="4149" spans="3:13" ht="12.75" customHeight="1" x14ac:dyDescent="0.2">
      <c r="C4149"/>
      <c r="M4149"/>
    </row>
    <row r="4150" spans="3:13" ht="12.75" customHeight="1" x14ac:dyDescent="0.2">
      <c r="C4150"/>
      <c r="M4150"/>
    </row>
    <row r="4151" spans="3:13" ht="12.75" customHeight="1" x14ac:dyDescent="0.2">
      <c r="C4151"/>
      <c r="M4151"/>
    </row>
    <row r="4152" spans="3:13" ht="12.75" customHeight="1" x14ac:dyDescent="0.2">
      <c r="C4152"/>
      <c r="M4152"/>
    </row>
    <row r="4153" spans="3:13" ht="12.75" customHeight="1" x14ac:dyDescent="0.2">
      <c r="C4153"/>
      <c r="M4153"/>
    </row>
    <row r="4154" spans="3:13" ht="12.75" customHeight="1" x14ac:dyDescent="0.2">
      <c r="C4154"/>
      <c r="M4154"/>
    </row>
    <row r="4155" spans="3:13" ht="12.75" customHeight="1" x14ac:dyDescent="0.2">
      <c r="C4155"/>
      <c r="M4155"/>
    </row>
    <row r="4156" spans="3:13" ht="12.75" customHeight="1" x14ac:dyDescent="0.2">
      <c r="C4156"/>
      <c r="M4156"/>
    </row>
    <row r="4157" spans="3:13" ht="12.75" customHeight="1" x14ac:dyDescent="0.2">
      <c r="C4157"/>
      <c r="M4157"/>
    </row>
    <row r="4158" spans="3:13" ht="12.75" customHeight="1" x14ac:dyDescent="0.2">
      <c r="C4158"/>
      <c r="M4158"/>
    </row>
    <row r="4159" spans="3:13" ht="12.75" customHeight="1" x14ac:dyDescent="0.2">
      <c r="C4159"/>
      <c r="M4159"/>
    </row>
    <row r="4160" spans="3:13" ht="12.75" customHeight="1" x14ac:dyDescent="0.2">
      <c r="C4160"/>
      <c r="M4160"/>
    </row>
    <row r="4161" spans="3:13" ht="12.75" customHeight="1" x14ac:dyDescent="0.2">
      <c r="C4161"/>
      <c r="M4161"/>
    </row>
    <row r="4162" spans="3:13" ht="12.75" customHeight="1" x14ac:dyDescent="0.2">
      <c r="C4162"/>
      <c r="M4162"/>
    </row>
    <row r="4163" spans="3:13" ht="12.75" customHeight="1" x14ac:dyDescent="0.2">
      <c r="C4163"/>
      <c r="M4163"/>
    </row>
    <row r="4164" spans="3:13" ht="12.75" customHeight="1" x14ac:dyDescent="0.2">
      <c r="C4164"/>
      <c r="M4164"/>
    </row>
    <row r="4165" spans="3:13" ht="12.75" customHeight="1" x14ac:dyDescent="0.2">
      <c r="C4165"/>
      <c r="M4165"/>
    </row>
    <row r="4166" spans="3:13" ht="12.75" customHeight="1" x14ac:dyDescent="0.2">
      <c r="C4166"/>
      <c r="M4166"/>
    </row>
    <row r="4167" spans="3:13" ht="12.75" customHeight="1" x14ac:dyDescent="0.2">
      <c r="C4167"/>
      <c r="M4167"/>
    </row>
    <row r="4168" spans="3:13" ht="12.75" customHeight="1" x14ac:dyDescent="0.2">
      <c r="C4168"/>
      <c r="M4168"/>
    </row>
    <row r="4169" spans="3:13" ht="12.75" customHeight="1" x14ac:dyDescent="0.2">
      <c r="C4169"/>
      <c r="M4169"/>
    </row>
    <row r="4170" spans="3:13" ht="12.75" customHeight="1" x14ac:dyDescent="0.2">
      <c r="C4170"/>
      <c r="M4170"/>
    </row>
    <row r="4171" spans="3:13" ht="12.75" customHeight="1" x14ac:dyDescent="0.2">
      <c r="C4171"/>
      <c r="M4171"/>
    </row>
    <row r="4172" spans="3:13" ht="12.75" customHeight="1" x14ac:dyDescent="0.2">
      <c r="C4172"/>
      <c r="M4172"/>
    </row>
    <row r="4173" spans="3:13" ht="12.75" customHeight="1" x14ac:dyDescent="0.2">
      <c r="C4173"/>
      <c r="M4173"/>
    </row>
    <row r="4174" spans="3:13" ht="12.75" customHeight="1" x14ac:dyDescent="0.2">
      <c r="C4174"/>
      <c r="M4174"/>
    </row>
    <row r="4175" spans="3:13" ht="12.75" customHeight="1" x14ac:dyDescent="0.2">
      <c r="C4175"/>
      <c r="M4175"/>
    </row>
    <row r="4176" spans="3:13" ht="12.75" customHeight="1" x14ac:dyDescent="0.2">
      <c r="C4176"/>
      <c r="M4176"/>
    </row>
    <row r="4177" spans="3:13" ht="12.75" customHeight="1" x14ac:dyDescent="0.2">
      <c r="C4177"/>
      <c r="M4177"/>
    </row>
    <row r="4178" spans="3:13" ht="12.75" customHeight="1" x14ac:dyDescent="0.2">
      <c r="C4178"/>
      <c r="M4178"/>
    </row>
    <row r="4179" spans="3:13" ht="12.75" customHeight="1" x14ac:dyDescent="0.2">
      <c r="C4179"/>
      <c r="M4179"/>
    </row>
    <row r="4180" spans="3:13" ht="12.75" customHeight="1" x14ac:dyDescent="0.2">
      <c r="C4180"/>
      <c r="M4180"/>
    </row>
    <row r="4181" spans="3:13" ht="12.75" customHeight="1" x14ac:dyDescent="0.2">
      <c r="C4181"/>
      <c r="M4181"/>
    </row>
    <row r="4182" spans="3:13" ht="12.75" customHeight="1" x14ac:dyDescent="0.2">
      <c r="C4182"/>
      <c r="M4182"/>
    </row>
    <row r="4183" spans="3:13" ht="12.75" customHeight="1" x14ac:dyDescent="0.2">
      <c r="C4183"/>
      <c r="M4183"/>
    </row>
    <row r="4184" spans="3:13" ht="12.75" customHeight="1" x14ac:dyDescent="0.2">
      <c r="C4184"/>
      <c r="M4184"/>
    </row>
    <row r="4185" spans="3:13" ht="12.75" customHeight="1" x14ac:dyDescent="0.2">
      <c r="C4185"/>
      <c r="M4185"/>
    </row>
    <row r="4186" spans="3:13" ht="12.75" customHeight="1" x14ac:dyDescent="0.2">
      <c r="C4186"/>
      <c r="M4186"/>
    </row>
    <row r="4187" spans="3:13" ht="12.75" customHeight="1" x14ac:dyDescent="0.2">
      <c r="C4187"/>
      <c r="M4187"/>
    </row>
    <row r="4188" spans="3:13" ht="12.75" customHeight="1" x14ac:dyDescent="0.2">
      <c r="C4188"/>
      <c r="M4188"/>
    </row>
    <row r="4189" spans="3:13" ht="12.75" customHeight="1" x14ac:dyDescent="0.2">
      <c r="C4189"/>
      <c r="M4189"/>
    </row>
    <row r="4190" spans="3:13" ht="12.75" customHeight="1" x14ac:dyDescent="0.2">
      <c r="C4190"/>
      <c r="M4190"/>
    </row>
    <row r="4191" spans="3:13" ht="12.75" customHeight="1" x14ac:dyDescent="0.2">
      <c r="C4191"/>
      <c r="M4191"/>
    </row>
    <row r="4192" spans="3:13" ht="12.75" customHeight="1" x14ac:dyDescent="0.2">
      <c r="C4192"/>
      <c r="M4192"/>
    </row>
    <row r="4193" spans="3:13" ht="12.75" customHeight="1" x14ac:dyDescent="0.2">
      <c r="C4193"/>
      <c r="M4193"/>
    </row>
    <row r="4194" spans="3:13" ht="12.75" customHeight="1" x14ac:dyDescent="0.2">
      <c r="C4194"/>
      <c r="M4194"/>
    </row>
    <row r="4195" spans="3:13" ht="12.75" customHeight="1" x14ac:dyDescent="0.2">
      <c r="C4195"/>
      <c r="M4195"/>
    </row>
    <row r="4196" spans="3:13" ht="12.75" customHeight="1" x14ac:dyDescent="0.2">
      <c r="C4196"/>
      <c r="M4196"/>
    </row>
    <row r="4197" spans="3:13" ht="12.75" customHeight="1" x14ac:dyDescent="0.2">
      <c r="C4197"/>
      <c r="M4197"/>
    </row>
    <row r="4198" spans="3:13" ht="12.75" customHeight="1" x14ac:dyDescent="0.2">
      <c r="C4198"/>
      <c r="M4198"/>
    </row>
    <row r="4199" spans="3:13" ht="12.75" customHeight="1" x14ac:dyDescent="0.2">
      <c r="C4199"/>
      <c r="M4199"/>
    </row>
    <row r="4200" spans="3:13" ht="12.75" customHeight="1" x14ac:dyDescent="0.2">
      <c r="C4200"/>
      <c r="M4200"/>
    </row>
    <row r="4201" spans="3:13" ht="12.75" customHeight="1" x14ac:dyDescent="0.2">
      <c r="C4201"/>
      <c r="M4201"/>
    </row>
    <row r="4202" spans="3:13" ht="12.75" customHeight="1" x14ac:dyDescent="0.2">
      <c r="C4202"/>
      <c r="M4202"/>
    </row>
    <row r="4203" spans="3:13" ht="12.75" customHeight="1" x14ac:dyDescent="0.2">
      <c r="C4203"/>
      <c r="M4203"/>
    </row>
    <row r="4204" spans="3:13" ht="12.75" customHeight="1" x14ac:dyDescent="0.2">
      <c r="C4204"/>
      <c r="M4204"/>
    </row>
    <row r="4205" spans="3:13" ht="12.75" customHeight="1" x14ac:dyDescent="0.2">
      <c r="C4205"/>
      <c r="M4205"/>
    </row>
    <row r="4206" spans="3:13" ht="12.75" customHeight="1" x14ac:dyDescent="0.2">
      <c r="C4206"/>
      <c r="M4206"/>
    </row>
    <row r="4207" spans="3:13" ht="12.75" customHeight="1" x14ac:dyDescent="0.2">
      <c r="C4207"/>
      <c r="M4207"/>
    </row>
    <row r="4208" spans="3:13" ht="12.75" customHeight="1" x14ac:dyDescent="0.2">
      <c r="C4208"/>
      <c r="M4208"/>
    </row>
    <row r="4209" spans="3:13" ht="12.75" customHeight="1" x14ac:dyDescent="0.2">
      <c r="C4209"/>
      <c r="M4209"/>
    </row>
    <row r="4210" spans="3:13" ht="12.75" customHeight="1" x14ac:dyDescent="0.2">
      <c r="C4210"/>
      <c r="M4210"/>
    </row>
    <row r="4211" spans="3:13" ht="12.75" customHeight="1" x14ac:dyDescent="0.2">
      <c r="C4211"/>
      <c r="M4211"/>
    </row>
    <row r="4212" spans="3:13" ht="12.75" customHeight="1" x14ac:dyDescent="0.2">
      <c r="C4212"/>
      <c r="M4212"/>
    </row>
    <row r="4213" spans="3:13" ht="12.75" customHeight="1" x14ac:dyDescent="0.2">
      <c r="C4213"/>
      <c r="M4213"/>
    </row>
    <row r="4214" spans="3:13" ht="12.75" customHeight="1" x14ac:dyDescent="0.2">
      <c r="C4214"/>
      <c r="M4214"/>
    </row>
    <row r="4215" spans="3:13" ht="12.75" customHeight="1" x14ac:dyDescent="0.2">
      <c r="C4215"/>
      <c r="M4215"/>
    </row>
    <row r="4216" spans="3:13" ht="12.75" customHeight="1" x14ac:dyDescent="0.2">
      <c r="C4216"/>
      <c r="M4216"/>
    </row>
    <row r="4217" spans="3:13" ht="12.75" customHeight="1" x14ac:dyDescent="0.2">
      <c r="C4217"/>
      <c r="M4217"/>
    </row>
    <row r="4218" spans="3:13" ht="12.75" customHeight="1" x14ac:dyDescent="0.2">
      <c r="C4218"/>
      <c r="M4218"/>
    </row>
    <row r="4219" spans="3:13" ht="12.75" customHeight="1" x14ac:dyDescent="0.2">
      <c r="C4219"/>
      <c r="M4219"/>
    </row>
    <row r="4220" spans="3:13" ht="12.75" customHeight="1" x14ac:dyDescent="0.2">
      <c r="C4220"/>
      <c r="M4220"/>
    </row>
    <row r="4221" spans="3:13" ht="12.75" customHeight="1" x14ac:dyDescent="0.2">
      <c r="C4221"/>
      <c r="M4221"/>
    </row>
    <row r="4222" spans="3:13" ht="12.75" customHeight="1" x14ac:dyDescent="0.2">
      <c r="C4222"/>
      <c r="M4222"/>
    </row>
    <row r="4223" spans="3:13" ht="12.75" customHeight="1" x14ac:dyDescent="0.2">
      <c r="C4223"/>
      <c r="M4223"/>
    </row>
    <row r="4224" spans="3:13" ht="12.75" customHeight="1" x14ac:dyDescent="0.2">
      <c r="C4224"/>
      <c r="M4224"/>
    </row>
    <row r="4225" spans="3:13" ht="12.75" customHeight="1" x14ac:dyDescent="0.2">
      <c r="C4225"/>
      <c r="M4225"/>
    </row>
    <row r="4226" spans="3:13" ht="12.75" customHeight="1" x14ac:dyDescent="0.2">
      <c r="C4226"/>
      <c r="M4226"/>
    </row>
    <row r="4227" spans="3:13" ht="12.75" customHeight="1" x14ac:dyDescent="0.2">
      <c r="C4227"/>
      <c r="M4227"/>
    </row>
    <row r="4228" spans="3:13" ht="12.75" customHeight="1" x14ac:dyDescent="0.2">
      <c r="C4228"/>
      <c r="M4228"/>
    </row>
    <row r="4229" spans="3:13" ht="12.75" customHeight="1" x14ac:dyDescent="0.2">
      <c r="C4229"/>
      <c r="M4229"/>
    </row>
    <row r="4230" spans="3:13" ht="12.75" customHeight="1" x14ac:dyDescent="0.2">
      <c r="C4230"/>
      <c r="M4230"/>
    </row>
    <row r="4231" spans="3:13" ht="12.75" customHeight="1" x14ac:dyDescent="0.2">
      <c r="C4231"/>
      <c r="M4231"/>
    </row>
    <row r="4232" spans="3:13" ht="12.75" customHeight="1" x14ac:dyDescent="0.2">
      <c r="C4232"/>
      <c r="M4232"/>
    </row>
    <row r="4233" spans="3:13" ht="12.75" customHeight="1" x14ac:dyDescent="0.2">
      <c r="C4233"/>
      <c r="M4233"/>
    </row>
    <row r="4234" spans="3:13" ht="12.75" customHeight="1" x14ac:dyDescent="0.2">
      <c r="C4234"/>
      <c r="M4234"/>
    </row>
    <row r="4235" spans="3:13" ht="12.75" customHeight="1" x14ac:dyDescent="0.2">
      <c r="C4235"/>
      <c r="M4235"/>
    </row>
    <row r="4236" spans="3:13" ht="12.75" customHeight="1" x14ac:dyDescent="0.2">
      <c r="C4236"/>
      <c r="M4236"/>
    </row>
    <row r="4237" spans="3:13" ht="12.75" customHeight="1" x14ac:dyDescent="0.2">
      <c r="C4237"/>
      <c r="M4237"/>
    </row>
    <row r="4238" spans="3:13" ht="12.75" customHeight="1" x14ac:dyDescent="0.2">
      <c r="C4238"/>
      <c r="M4238"/>
    </row>
    <row r="4239" spans="3:13" ht="12.75" customHeight="1" x14ac:dyDescent="0.2">
      <c r="C4239"/>
      <c r="M4239"/>
    </row>
    <row r="4240" spans="3:13" ht="12.75" customHeight="1" x14ac:dyDescent="0.2">
      <c r="C4240"/>
      <c r="M4240"/>
    </row>
    <row r="4241" spans="3:13" ht="12.75" customHeight="1" x14ac:dyDescent="0.2">
      <c r="C4241"/>
      <c r="M4241"/>
    </row>
    <row r="4242" spans="3:13" ht="12.75" customHeight="1" x14ac:dyDescent="0.2">
      <c r="C4242"/>
      <c r="M4242"/>
    </row>
    <row r="4243" spans="3:13" ht="12.75" customHeight="1" x14ac:dyDescent="0.2">
      <c r="C4243"/>
      <c r="M4243"/>
    </row>
    <row r="4244" spans="3:13" ht="12.75" customHeight="1" x14ac:dyDescent="0.2">
      <c r="C4244"/>
      <c r="M4244"/>
    </row>
    <row r="4245" spans="3:13" ht="12.75" customHeight="1" x14ac:dyDescent="0.2">
      <c r="C4245"/>
      <c r="M4245"/>
    </row>
    <row r="4246" spans="3:13" ht="12.75" customHeight="1" x14ac:dyDescent="0.2">
      <c r="C4246"/>
      <c r="M4246"/>
    </row>
    <row r="4247" spans="3:13" ht="12.75" customHeight="1" x14ac:dyDescent="0.2">
      <c r="C4247"/>
      <c r="M4247"/>
    </row>
    <row r="4248" spans="3:13" ht="12.75" customHeight="1" x14ac:dyDescent="0.2">
      <c r="C4248"/>
      <c r="M4248"/>
    </row>
    <row r="4249" spans="3:13" ht="12.75" customHeight="1" x14ac:dyDescent="0.2">
      <c r="C4249"/>
      <c r="M4249"/>
    </row>
    <row r="4250" spans="3:13" ht="12.75" customHeight="1" x14ac:dyDescent="0.2">
      <c r="C4250"/>
      <c r="M4250"/>
    </row>
    <row r="4251" spans="3:13" ht="12.75" customHeight="1" x14ac:dyDescent="0.2">
      <c r="C4251"/>
      <c r="M4251"/>
    </row>
    <row r="4252" spans="3:13" ht="12.75" customHeight="1" x14ac:dyDescent="0.2">
      <c r="C4252"/>
      <c r="M4252"/>
    </row>
    <row r="4253" spans="3:13" ht="12.75" customHeight="1" x14ac:dyDescent="0.2">
      <c r="C4253"/>
      <c r="M4253"/>
    </row>
    <row r="4254" spans="3:13" ht="12.75" customHeight="1" x14ac:dyDescent="0.2">
      <c r="C4254"/>
      <c r="M4254"/>
    </row>
    <row r="4255" spans="3:13" ht="12.75" customHeight="1" x14ac:dyDescent="0.2">
      <c r="C4255"/>
      <c r="M4255"/>
    </row>
    <row r="4256" spans="3:13" ht="12.75" customHeight="1" x14ac:dyDescent="0.2">
      <c r="C4256"/>
      <c r="M4256"/>
    </row>
    <row r="4257" spans="3:13" ht="12.75" customHeight="1" x14ac:dyDescent="0.2">
      <c r="C4257"/>
      <c r="M4257"/>
    </row>
    <row r="4258" spans="3:13" ht="12.75" customHeight="1" x14ac:dyDescent="0.2">
      <c r="C4258"/>
      <c r="M4258"/>
    </row>
    <row r="4259" spans="3:13" ht="12.75" customHeight="1" x14ac:dyDescent="0.2">
      <c r="C4259"/>
      <c r="M4259"/>
    </row>
    <row r="4260" spans="3:13" ht="12.75" customHeight="1" x14ac:dyDescent="0.2">
      <c r="C4260"/>
      <c r="M4260"/>
    </row>
    <row r="4261" spans="3:13" ht="12.75" customHeight="1" x14ac:dyDescent="0.2">
      <c r="C4261"/>
      <c r="M4261"/>
    </row>
    <row r="4262" spans="3:13" ht="12.75" customHeight="1" x14ac:dyDescent="0.2">
      <c r="C4262"/>
      <c r="M4262"/>
    </row>
    <row r="4263" spans="3:13" ht="12.75" customHeight="1" x14ac:dyDescent="0.2">
      <c r="C4263"/>
      <c r="M4263"/>
    </row>
    <row r="4264" spans="3:13" ht="12.75" customHeight="1" x14ac:dyDescent="0.2">
      <c r="C4264"/>
      <c r="M4264"/>
    </row>
    <row r="4265" spans="3:13" ht="12.75" customHeight="1" x14ac:dyDescent="0.2">
      <c r="C4265"/>
      <c r="M4265"/>
    </row>
    <row r="4266" spans="3:13" ht="12.75" customHeight="1" x14ac:dyDescent="0.2">
      <c r="C4266"/>
      <c r="M4266"/>
    </row>
    <row r="4267" spans="3:13" ht="12.75" customHeight="1" x14ac:dyDescent="0.2">
      <c r="C4267"/>
      <c r="M4267"/>
    </row>
    <row r="4268" spans="3:13" ht="12.75" customHeight="1" x14ac:dyDescent="0.2">
      <c r="C4268"/>
      <c r="M4268"/>
    </row>
    <row r="4269" spans="3:13" ht="12.75" customHeight="1" x14ac:dyDescent="0.2">
      <c r="C4269"/>
      <c r="M4269"/>
    </row>
    <row r="4270" spans="3:13" ht="12.75" customHeight="1" x14ac:dyDescent="0.2">
      <c r="C4270"/>
      <c r="M4270"/>
    </row>
    <row r="4271" spans="3:13" ht="12.75" customHeight="1" x14ac:dyDescent="0.2">
      <c r="C4271"/>
      <c r="M4271"/>
    </row>
    <row r="4272" spans="3:13" ht="12.75" customHeight="1" x14ac:dyDescent="0.2">
      <c r="C4272"/>
      <c r="M4272"/>
    </row>
    <row r="4273" spans="3:13" ht="12.75" customHeight="1" x14ac:dyDescent="0.2">
      <c r="C4273"/>
      <c r="M4273"/>
    </row>
    <row r="4274" spans="3:13" ht="12.75" customHeight="1" x14ac:dyDescent="0.2">
      <c r="C4274"/>
      <c r="M4274"/>
    </row>
    <row r="4284" spans="3:13" ht="12.75" customHeight="1" x14ac:dyDescent="0.2">
      <c r="C4284"/>
      <c r="M4284"/>
    </row>
    <row r="4285" spans="3:13" ht="12.75" customHeight="1" x14ac:dyDescent="0.2">
      <c r="C4285"/>
      <c r="M4285"/>
    </row>
    <row r="4286" spans="3:13" ht="12.75" customHeight="1" x14ac:dyDescent="0.2">
      <c r="C4286"/>
      <c r="M4286"/>
    </row>
    <row r="4287" spans="3:13" ht="12.75" customHeight="1" x14ac:dyDescent="0.2">
      <c r="C4287"/>
      <c r="M4287"/>
    </row>
    <row r="60945" spans="3:13" ht="12.75" customHeight="1" x14ac:dyDescent="0.2">
      <c r="C60945"/>
      <c r="M60945"/>
    </row>
    <row r="60961" spans="3:13" ht="12.75" customHeight="1" x14ac:dyDescent="0.2">
      <c r="C60961"/>
      <c r="M60961"/>
    </row>
    <row r="60977" spans="3:13" ht="12.75" customHeight="1" x14ac:dyDescent="0.2">
      <c r="C60977"/>
      <c r="M60977"/>
    </row>
    <row r="60993" spans="3:13" ht="12.75" customHeight="1" x14ac:dyDescent="0.2">
      <c r="C60993"/>
      <c r="M60993"/>
    </row>
    <row r="61006" spans="3:13" ht="12.75" customHeight="1" x14ac:dyDescent="0.2">
      <c r="C61006"/>
      <c r="M61006"/>
    </row>
    <row r="61007" spans="3:13" ht="12.75" customHeight="1" x14ac:dyDescent="0.2">
      <c r="C61007"/>
      <c r="M61007"/>
    </row>
    <row r="61009" spans="3:13" ht="12.75" customHeight="1" x14ac:dyDescent="0.2">
      <c r="C61009"/>
      <c r="M61009"/>
    </row>
    <row r="61020" spans="3:13" ht="12.75" customHeight="1" x14ac:dyDescent="0.2">
      <c r="C61020"/>
      <c r="M61020"/>
    </row>
    <row r="61021" spans="3:13" ht="12.75" customHeight="1" x14ac:dyDescent="0.2">
      <c r="C61021"/>
      <c r="M61021"/>
    </row>
    <row r="61022" spans="3:13" ht="12.75" customHeight="1" x14ac:dyDescent="0.2">
      <c r="C61022"/>
      <c r="M61022"/>
    </row>
    <row r="61023" spans="3:13" ht="12.75" customHeight="1" x14ac:dyDescent="0.2">
      <c r="C61023"/>
      <c r="M61023"/>
    </row>
    <row r="61025" spans="3:13" ht="12.75" customHeight="1" x14ac:dyDescent="0.2">
      <c r="C61025"/>
      <c r="M61025"/>
    </row>
    <row r="61036" spans="3:13" ht="12.75" customHeight="1" x14ac:dyDescent="0.2">
      <c r="C61036"/>
      <c r="M61036"/>
    </row>
    <row r="61037" spans="3:13" ht="12.75" customHeight="1" x14ac:dyDescent="0.2">
      <c r="C61037"/>
      <c r="M61037"/>
    </row>
    <row r="61038" spans="3:13" ht="12.75" customHeight="1" x14ac:dyDescent="0.2">
      <c r="C61038"/>
      <c r="M61038"/>
    </row>
    <row r="61039" spans="3:13" ht="12.75" customHeight="1" x14ac:dyDescent="0.2">
      <c r="C61039"/>
      <c r="M61039"/>
    </row>
    <row r="61041" spans="3:13" ht="12.75" customHeight="1" x14ac:dyDescent="0.2">
      <c r="C61041"/>
      <c r="M61041"/>
    </row>
    <row r="61052" spans="3:13" ht="12.75" customHeight="1" x14ac:dyDescent="0.2">
      <c r="C61052"/>
      <c r="M61052"/>
    </row>
    <row r="61053" spans="3:13" ht="12.75" customHeight="1" x14ac:dyDescent="0.2">
      <c r="C61053"/>
      <c r="M61053"/>
    </row>
    <row r="61054" spans="3:13" ht="12.75" customHeight="1" x14ac:dyDescent="0.2">
      <c r="C61054"/>
      <c r="M61054"/>
    </row>
    <row r="61055" spans="3:13" ht="12.75" customHeight="1" x14ac:dyDescent="0.2">
      <c r="C61055"/>
      <c r="M61055"/>
    </row>
    <row r="61057" spans="3:13" ht="12.75" customHeight="1" x14ac:dyDescent="0.2">
      <c r="C61057"/>
      <c r="M61057"/>
    </row>
    <row r="61068" spans="3:13" ht="12.75" customHeight="1" x14ac:dyDescent="0.2">
      <c r="C61068"/>
      <c r="M61068"/>
    </row>
    <row r="61069" spans="3:13" ht="12.75" customHeight="1" x14ac:dyDescent="0.2">
      <c r="C61069"/>
      <c r="M61069"/>
    </row>
    <row r="61070" spans="3:13" ht="12.75" customHeight="1" x14ac:dyDescent="0.2">
      <c r="C61070"/>
      <c r="M61070"/>
    </row>
    <row r="61071" spans="3:13" ht="12.75" customHeight="1" x14ac:dyDescent="0.2">
      <c r="C61071"/>
      <c r="M61071"/>
    </row>
    <row r="61073" spans="3:13" ht="12.75" customHeight="1" x14ac:dyDescent="0.2">
      <c r="C61073"/>
      <c r="M61073"/>
    </row>
    <row r="61084" spans="3:13" ht="12.75" customHeight="1" x14ac:dyDescent="0.2">
      <c r="C61084"/>
      <c r="M61084"/>
    </row>
    <row r="61085" spans="3:13" ht="12.75" customHeight="1" x14ac:dyDescent="0.2">
      <c r="C61085"/>
      <c r="M61085"/>
    </row>
    <row r="61086" spans="3:13" ht="12.75" customHeight="1" x14ac:dyDescent="0.2">
      <c r="C61086"/>
      <c r="M61086"/>
    </row>
    <row r="61087" spans="3:13" ht="12.75" customHeight="1" x14ac:dyDescent="0.2">
      <c r="C61087"/>
      <c r="M61087"/>
    </row>
    <row r="61089" spans="3:13" ht="12.75" customHeight="1" x14ac:dyDescent="0.2">
      <c r="C61089"/>
      <c r="M61089"/>
    </row>
    <row r="61100" spans="3:13" ht="12.75" customHeight="1" x14ac:dyDescent="0.2">
      <c r="C61100"/>
      <c r="M61100"/>
    </row>
    <row r="61101" spans="3:13" ht="12.75" customHeight="1" x14ac:dyDescent="0.2">
      <c r="C61101"/>
      <c r="M61101"/>
    </row>
    <row r="61102" spans="3:13" ht="12.75" customHeight="1" x14ac:dyDescent="0.2">
      <c r="C61102"/>
      <c r="M61102"/>
    </row>
    <row r="61103" spans="3:13" ht="12.75" customHeight="1" x14ac:dyDescent="0.2">
      <c r="C61103"/>
      <c r="M61103"/>
    </row>
    <row r="61105" spans="3:13" ht="12.75" customHeight="1" x14ac:dyDescent="0.2">
      <c r="C61105"/>
      <c r="M61105"/>
    </row>
    <row r="61116" spans="3:13" ht="12.75" customHeight="1" x14ac:dyDescent="0.2">
      <c r="C61116"/>
      <c r="M61116"/>
    </row>
    <row r="61117" spans="3:13" ht="12.75" customHeight="1" x14ac:dyDescent="0.2">
      <c r="C61117"/>
      <c r="M61117"/>
    </row>
    <row r="61118" spans="3:13" ht="12.75" customHeight="1" x14ac:dyDescent="0.2">
      <c r="C61118"/>
      <c r="M61118"/>
    </row>
    <row r="61119" spans="3:13" ht="12.75" customHeight="1" x14ac:dyDescent="0.2">
      <c r="C61119"/>
      <c r="M61119"/>
    </row>
    <row r="61121" spans="3:13" ht="12.75" customHeight="1" x14ac:dyDescent="0.2">
      <c r="C61121"/>
      <c r="M61121"/>
    </row>
    <row r="61132" spans="3:13" ht="12.75" customHeight="1" x14ac:dyDescent="0.2">
      <c r="C61132"/>
      <c r="M61132"/>
    </row>
    <row r="61133" spans="3:13" ht="12.75" customHeight="1" x14ac:dyDescent="0.2">
      <c r="C61133"/>
      <c r="M61133"/>
    </row>
    <row r="61134" spans="3:13" ht="12.75" customHeight="1" x14ac:dyDescent="0.2">
      <c r="C61134"/>
      <c r="M61134"/>
    </row>
    <row r="61135" spans="3:13" ht="12.75" customHeight="1" x14ac:dyDescent="0.2">
      <c r="C61135"/>
      <c r="M61135"/>
    </row>
    <row r="61137" spans="3:13" ht="12.75" customHeight="1" x14ac:dyDescent="0.2">
      <c r="C61137"/>
      <c r="M61137"/>
    </row>
    <row r="61145" spans="3:13" ht="12.75" customHeight="1" x14ac:dyDescent="0.2">
      <c r="C61145"/>
      <c r="M61145"/>
    </row>
    <row r="61148" spans="3:13" ht="12.75" customHeight="1" x14ac:dyDescent="0.2">
      <c r="C61148"/>
      <c r="M61148"/>
    </row>
    <row r="61149" spans="3:13" ht="12.75" customHeight="1" x14ac:dyDescent="0.2">
      <c r="C61149"/>
      <c r="M61149"/>
    </row>
    <row r="61150" spans="3:13" ht="12.75" customHeight="1" x14ac:dyDescent="0.2">
      <c r="C61150"/>
      <c r="M61150"/>
    </row>
    <row r="61151" spans="3:13" ht="12.75" customHeight="1" x14ac:dyDescent="0.2">
      <c r="C61151"/>
      <c r="M61151"/>
    </row>
    <row r="61153" spans="3:13" ht="12.75" customHeight="1" x14ac:dyDescent="0.2">
      <c r="C61153"/>
      <c r="M61153"/>
    </row>
    <row r="61161" spans="3:13" ht="12.75" customHeight="1" x14ac:dyDescent="0.2">
      <c r="C61161"/>
      <c r="M61161"/>
    </row>
    <row r="61164" spans="3:13" ht="12.75" customHeight="1" x14ac:dyDescent="0.2">
      <c r="C61164"/>
      <c r="M61164"/>
    </row>
    <row r="61165" spans="3:13" ht="12.75" customHeight="1" x14ac:dyDescent="0.2">
      <c r="C61165"/>
      <c r="M61165"/>
    </row>
    <row r="61166" spans="3:13" ht="12.75" customHeight="1" x14ac:dyDescent="0.2">
      <c r="C61166"/>
      <c r="M61166"/>
    </row>
    <row r="61167" spans="3:13" ht="12.75" customHeight="1" x14ac:dyDescent="0.2">
      <c r="C61167"/>
      <c r="M61167"/>
    </row>
    <row r="61169" spans="3:13" ht="12.75" customHeight="1" x14ac:dyDescent="0.2">
      <c r="C61169"/>
      <c r="M61169"/>
    </row>
    <row r="61177" spans="3:13" ht="12.75" customHeight="1" x14ac:dyDescent="0.2">
      <c r="C61177"/>
      <c r="M61177"/>
    </row>
    <row r="61178" spans="3:13" ht="12.75" customHeight="1" x14ac:dyDescent="0.2">
      <c r="C61178"/>
      <c r="M61178"/>
    </row>
    <row r="61179" spans="3:13" ht="0" hidden="1" customHeight="1" x14ac:dyDescent="0.2"/>
    <row r="61180" spans="3:13" ht="12.75" customHeight="1" x14ac:dyDescent="0.2">
      <c r="C61180"/>
      <c r="M61180"/>
    </row>
    <row r="61181" spans="3:13" ht="12.75" customHeight="1" x14ac:dyDescent="0.2">
      <c r="C61181"/>
      <c r="M61181"/>
    </row>
    <row r="61182" spans="3:13" ht="12.75" customHeight="1" x14ac:dyDescent="0.2">
      <c r="C61182"/>
      <c r="M61182"/>
    </row>
    <row r="61183" spans="3:13" ht="12.75" customHeight="1" x14ac:dyDescent="0.2">
      <c r="C61183"/>
      <c r="M61183"/>
    </row>
    <row r="61185" spans="3:13" ht="12.75" customHeight="1" x14ac:dyDescent="0.2">
      <c r="C61185"/>
      <c r="M61185"/>
    </row>
    <row r="61193" spans="3:13" ht="12.75" customHeight="1" x14ac:dyDescent="0.2">
      <c r="C61193"/>
      <c r="M61193"/>
    </row>
    <row r="61194" spans="3:13" ht="12.75" customHeight="1" x14ac:dyDescent="0.2">
      <c r="C61194"/>
      <c r="M61194"/>
    </row>
    <row r="61195" spans="3:13" ht="12.75" customHeight="1" x14ac:dyDescent="0.2">
      <c r="C61195"/>
      <c r="M61195"/>
    </row>
    <row r="61196" spans="3:13" ht="12.75" customHeight="1" x14ac:dyDescent="0.2">
      <c r="C61196"/>
      <c r="M61196"/>
    </row>
    <row r="61197" spans="3:13" ht="12.75" customHeight="1" x14ac:dyDescent="0.2">
      <c r="C61197"/>
      <c r="M61197"/>
    </row>
    <row r="61198" spans="3:13" ht="12.75" customHeight="1" x14ac:dyDescent="0.2">
      <c r="C61198"/>
      <c r="M61198"/>
    </row>
    <row r="61199" spans="3:13" ht="12.75" customHeight="1" x14ac:dyDescent="0.2">
      <c r="C61199"/>
      <c r="M61199"/>
    </row>
    <row r="61201" spans="3:13" ht="12.75" customHeight="1" x14ac:dyDescent="0.2">
      <c r="C61201"/>
      <c r="M61201"/>
    </row>
    <row r="61209" spans="3:13" ht="12.75" customHeight="1" x14ac:dyDescent="0.2">
      <c r="C61209"/>
      <c r="M61209"/>
    </row>
    <row r="61210" spans="3:13" ht="12.75" customHeight="1" x14ac:dyDescent="0.2">
      <c r="C61210"/>
      <c r="M61210"/>
    </row>
    <row r="61211" spans="3:13" ht="12.75" customHeight="1" x14ac:dyDescent="0.2">
      <c r="C61211"/>
      <c r="M61211"/>
    </row>
    <row r="61212" spans="3:13" ht="12.75" customHeight="1" x14ac:dyDescent="0.2">
      <c r="C61212"/>
      <c r="M61212"/>
    </row>
    <row r="61213" spans="3:13" ht="12.75" customHeight="1" x14ac:dyDescent="0.2">
      <c r="C61213"/>
      <c r="M61213"/>
    </row>
    <row r="61214" spans="3:13" ht="12.75" customHeight="1" x14ac:dyDescent="0.2">
      <c r="C61214"/>
      <c r="M61214"/>
    </row>
    <row r="61215" spans="3:13" ht="12.75" customHeight="1" x14ac:dyDescent="0.2">
      <c r="C61215"/>
      <c r="M61215"/>
    </row>
    <row r="61217" spans="3:13" ht="12.75" customHeight="1" x14ac:dyDescent="0.2">
      <c r="C61217"/>
      <c r="M61217"/>
    </row>
    <row r="61223" spans="3:13" ht="12.75" customHeight="1" x14ac:dyDescent="0.2">
      <c r="C61223"/>
      <c r="M61223"/>
    </row>
    <row r="61224" spans="3:13" ht="12.75" customHeight="1" x14ac:dyDescent="0.2">
      <c r="C61224"/>
      <c r="M61224"/>
    </row>
    <row r="61225" spans="3:13" ht="12.75" customHeight="1" x14ac:dyDescent="0.2">
      <c r="C61225"/>
      <c r="M61225"/>
    </row>
    <row r="61226" spans="3:13" ht="12.75" customHeight="1" x14ac:dyDescent="0.2">
      <c r="C61226"/>
      <c r="M61226"/>
    </row>
    <row r="61227" spans="3:13" ht="12.75" customHeight="1" x14ac:dyDescent="0.2">
      <c r="C61227"/>
      <c r="M61227"/>
    </row>
    <row r="61228" spans="3:13" ht="12.75" customHeight="1" x14ac:dyDescent="0.2">
      <c r="C61228"/>
      <c r="M61228"/>
    </row>
    <row r="61229" spans="3:13" ht="12.75" customHeight="1" x14ac:dyDescent="0.2">
      <c r="C61229"/>
      <c r="M61229"/>
    </row>
    <row r="61230" spans="3:13" ht="12.75" customHeight="1" x14ac:dyDescent="0.2">
      <c r="C61230"/>
      <c r="M61230"/>
    </row>
    <row r="61231" spans="3:13" ht="12.75" customHeight="1" x14ac:dyDescent="0.2">
      <c r="C61231"/>
      <c r="M61231"/>
    </row>
    <row r="61232" spans="3:13" ht="12.75" customHeight="1" x14ac:dyDescent="0.2">
      <c r="C61232"/>
      <c r="M61232"/>
    </row>
    <row r="61233" spans="3:13" ht="12.75" customHeight="1" x14ac:dyDescent="0.2">
      <c r="C61233"/>
      <c r="M61233"/>
    </row>
    <row r="61234" spans="3:13" ht="12.75" customHeight="1" x14ac:dyDescent="0.2">
      <c r="C61234"/>
      <c r="M61234"/>
    </row>
    <row r="61239" spans="3:13" ht="12.75" customHeight="1" x14ac:dyDescent="0.2">
      <c r="C61239"/>
      <c r="M61239"/>
    </row>
    <row r="61240" spans="3:13" ht="12.75" customHeight="1" x14ac:dyDescent="0.2">
      <c r="C61240"/>
      <c r="M61240"/>
    </row>
    <row r="61241" spans="3:13" ht="12.75" customHeight="1" x14ac:dyDescent="0.2">
      <c r="C61241"/>
      <c r="M61241"/>
    </row>
    <row r="61242" spans="3:13" ht="12.75" customHeight="1" x14ac:dyDescent="0.2">
      <c r="C61242"/>
      <c r="M61242"/>
    </row>
    <row r="61243" spans="3:13" ht="12.75" customHeight="1" x14ac:dyDescent="0.2">
      <c r="C61243"/>
      <c r="M61243"/>
    </row>
    <row r="61244" spans="3:13" ht="12.75" customHeight="1" x14ac:dyDescent="0.2">
      <c r="C61244"/>
      <c r="M61244"/>
    </row>
    <row r="61245" spans="3:13" ht="12.75" customHeight="1" x14ac:dyDescent="0.2">
      <c r="C61245"/>
      <c r="M61245"/>
    </row>
    <row r="61246" spans="3:13" ht="12.75" customHeight="1" x14ac:dyDescent="0.2">
      <c r="C61246"/>
      <c r="M61246"/>
    </row>
    <row r="61247" spans="3:13" ht="12.75" customHeight="1" x14ac:dyDescent="0.2">
      <c r="C61247"/>
      <c r="M61247"/>
    </row>
    <row r="61248" spans="3:13" ht="12.75" customHeight="1" x14ac:dyDescent="0.2">
      <c r="C61248"/>
      <c r="M61248"/>
    </row>
    <row r="61249" spans="3:13" ht="12.75" customHeight="1" x14ac:dyDescent="0.2">
      <c r="C61249"/>
      <c r="M61249"/>
    </row>
    <row r="61250" spans="3:13" ht="12.75" customHeight="1" x14ac:dyDescent="0.2">
      <c r="C61250"/>
      <c r="M61250"/>
    </row>
    <row r="61255" spans="3:13" ht="12.75" customHeight="1" x14ac:dyDescent="0.2">
      <c r="C61255"/>
      <c r="M61255"/>
    </row>
    <row r="61256" spans="3:13" ht="12.75" customHeight="1" x14ac:dyDescent="0.2">
      <c r="C61256"/>
      <c r="M61256"/>
    </row>
    <row r="61257" spans="3:13" ht="12.75" customHeight="1" x14ac:dyDescent="0.2">
      <c r="C61257"/>
      <c r="M61257"/>
    </row>
    <row r="61258" spans="3:13" ht="12.75" customHeight="1" x14ac:dyDescent="0.2">
      <c r="C61258"/>
      <c r="M61258"/>
    </row>
    <row r="61259" spans="3:13" ht="12.75" customHeight="1" x14ac:dyDescent="0.2">
      <c r="C61259"/>
      <c r="M61259"/>
    </row>
    <row r="61260" spans="3:13" ht="12.75" customHeight="1" x14ac:dyDescent="0.2">
      <c r="C61260"/>
      <c r="M61260"/>
    </row>
    <row r="61261" spans="3:13" ht="12.75" customHeight="1" x14ac:dyDescent="0.2">
      <c r="C61261"/>
      <c r="M61261"/>
    </row>
    <row r="61262" spans="3:13" ht="12.75" customHeight="1" x14ac:dyDescent="0.2">
      <c r="C61262"/>
      <c r="M61262"/>
    </row>
    <row r="61263" spans="3:13" ht="12.75" customHeight="1" x14ac:dyDescent="0.2">
      <c r="C61263"/>
      <c r="M61263"/>
    </row>
    <row r="61264" spans="3:13" ht="12.75" customHeight="1" x14ac:dyDescent="0.2">
      <c r="C61264"/>
      <c r="M61264"/>
    </row>
    <row r="61265" spans="3:13" ht="12.75" customHeight="1" x14ac:dyDescent="0.2">
      <c r="C61265"/>
      <c r="M61265"/>
    </row>
    <row r="61266" spans="3:13" ht="12.75" customHeight="1" x14ac:dyDescent="0.2">
      <c r="C61266"/>
      <c r="M61266"/>
    </row>
    <row r="61271" spans="3:13" ht="12.75" customHeight="1" x14ac:dyDescent="0.2">
      <c r="C61271"/>
      <c r="M61271"/>
    </row>
    <row r="61272" spans="3:13" ht="12.75" customHeight="1" x14ac:dyDescent="0.2">
      <c r="C61272"/>
      <c r="M61272"/>
    </row>
    <row r="61273" spans="3:13" ht="12.75" customHeight="1" x14ac:dyDescent="0.2">
      <c r="C61273"/>
      <c r="M61273"/>
    </row>
    <row r="61274" spans="3:13" ht="12.75" customHeight="1" x14ac:dyDescent="0.2">
      <c r="C61274"/>
      <c r="M61274"/>
    </row>
    <row r="61275" spans="3:13" ht="12.75" customHeight="1" x14ac:dyDescent="0.2">
      <c r="C61275"/>
      <c r="M61275"/>
    </row>
    <row r="61276" spans="3:13" ht="12.75" customHeight="1" x14ac:dyDescent="0.2">
      <c r="C61276"/>
      <c r="M61276"/>
    </row>
    <row r="61277" spans="3:13" ht="12.75" customHeight="1" x14ac:dyDescent="0.2">
      <c r="C61277"/>
      <c r="M61277"/>
    </row>
    <row r="61278" spans="3:13" ht="12.75" customHeight="1" x14ac:dyDescent="0.2">
      <c r="C61278"/>
      <c r="M61278"/>
    </row>
    <row r="61279" spans="3:13" ht="12.75" customHeight="1" x14ac:dyDescent="0.2">
      <c r="C61279"/>
      <c r="M61279"/>
    </row>
    <row r="61280" spans="3:13" ht="12.75" customHeight="1" x14ac:dyDescent="0.2">
      <c r="C61280"/>
      <c r="M61280"/>
    </row>
    <row r="61281" spans="3:13" ht="12.75" customHeight="1" x14ac:dyDescent="0.2">
      <c r="C61281"/>
      <c r="M61281"/>
    </row>
    <row r="61282" spans="3:13" ht="12.75" customHeight="1" x14ac:dyDescent="0.2">
      <c r="C61282"/>
      <c r="M61282"/>
    </row>
    <row r="61286" spans="3:13" ht="12.75" customHeight="1" x14ac:dyDescent="0.2">
      <c r="C61286"/>
      <c r="M61286"/>
    </row>
    <row r="61287" spans="3:13" ht="12.75" customHeight="1" x14ac:dyDescent="0.2">
      <c r="C61287"/>
      <c r="M61287"/>
    </row>
    <row r="61288" spans="3:13" ht="12.75" customHeight="1" x14ac:dyDescent="0.2">
      <c r="C61288"/>
      <c r="M61288"/>
    </row>
    <row r="61289" spans="3:13" ht="12.75" customHeight="1" x14ac:dyDescent="0.2">
      <c r="C61289"/>
      <c r="M61289"/>
    </row>
    <row r="61290" spans="3:13" ht="12.75" customHeight="1" x14ac:dyDescent="0.2">
      <c r="C61290"/>
      <c r="M61290"/>
    </row>
    <row r="61291" spans="3:13" ht="12.75" customHeight="1" x14ac:dyDescent="0.2">
      <c r="C61291"/>
      <c r="M61291"/>
    </row>
    <row r="61292" spans="3:13" ht="12.75" customHeight="1" x14ac:dyDescent="0.2">
      <c r="C61292"/>
      <c r="M61292"/>
    </row>
    <row r="61293" spans="3:13" ht="12.75" customHeight="1" x14ac:dyDescent="0.2">
      <c r="C61293"/>
      <c r="M61293"/>
    </row>
    <row r="61294" spans="3:13" ht="12.75" customHeight="1" x14ac:dyDescent="0.2">
      <c r="C61294"/>
      <c r="M61294"/>
    </row>
    <row r="61295" spans="3:13" ht="12.75" customHeight="1" x14ac:dyDescent="0.2">
      <c r="C61295"/>
      <c r="M61295"/>
    </row>
    <row r="61296" spans="3:13" ht="12.75" customHeight="1" x14ac:dyDescent="0.2">
      <c r="C61296"/>
      <c r="M61296"/>
    </row>
    <row r="61297" spans="3:13" ht="12.75" customHeight="1" x14ac:dyDescent="0.2">
      <c r="C61297"/>
      <c r="M61297"/>
    </row>
    <row r="61298" spans="3:13" ht="12.75" customHeight="1" x14ac:dyDescent="0.2">
      <c r="C61298"/>
      <c r="M61298"/>
    </row>
    <row r="61302" spans="3:13" ht="12.75" customHeight="1" x14ac:dyDescent="0.2">
      <c r="C61302"/>
      <c r="M61302"/>
    </row>
    <row r="61303" spans="3:13" ht="12.75" customHeight="1" x14ac:dyDescent="0.2">
      <c r="C61303"/>
      <c r="M61303"/>
    </row>
    <row r="61304" spans="3:13" ht="12.75" customHeight="1" x14ac:dyDescent="0.2">
      <c r="C61304"/>
      <c r="M61304"/>
    </row>
    <row r="61305" spans="3:13" ht="12.75" customHeight="1" x14ac:dyDescent="0.2">
      <c r="C61305"/>
      <c r="M61305"/>
    </row>
    <row r="61306" spans="3:13" ht="12.75" customHeight="1" x14ac:dyDescent="0.2">
      <c r="C61306"/>
      <c r="M61306"/>
    </row>
    <row r="61307" spans="3:13" ht="12.75" customHeight="1" x14ac:dyDescent="0.2">
      <c r="C61307"/>
      <c r="M61307"/>
    </row>
    <row r="61308" spans="3:13" ht="12.75" customHeight="1" x14ac:dyDescent="0.2">
      <c r="C61308"/>
      <c r="M61308"/>
    </row>
    <row r="61309" spans="3:13" ht="12.75" customHeight="1" x14ac:dyDescent="0.2">
      <c r="C61309"/>
      <c r="M61309"/>
    </row>
    <row r="61310" spans="3:13" ht="12.75" customHeight="1" x14ac:dyDescent="0.2">
      <c r="C61310"/>
      <c r="M61310"/>
    </row>
    <row r="61311" spans="3:13" ht="12.75" customHeight="1" x14ac:dyDescent="0.2">
      <c r="C61311"/>
      <c r="M61311"/>
    </row>
    <row r="61312" spans="3:13" ht="12.75" customHeight="1" x14ac:dyDescent="0.2">
      <c r="C61312"/>
      <c r="M61312"/>
    </row>
    <row r="61313" spans="3:13" ht="12.75" customHeight="1" x14ac:dyDescent="0.2">
      <c r="C61313"/>
      <c r="M61313"/>
    </row>
    <row r="61314" spans="3:13" ht="12.75" customHeight="1" x14ac:dyDescent="0.2">
      <c r="C61314"/>
      <c r="M61314"/>
    </row>
    <row r="61318" spans="3:13" ht="12.75" customHeight="1" x14ac:dyDescent="0.2">
      <c r="C61318"/>
      <c r="M61318"/>
    </row>
    <row r="61319" spans="3:13" ht="12.75" customHeight="1" x14ac:dyDescent="0.2">
      <c r="C61319"/>
      <c r="M61319"/>
    </row>
    <row r="61320" spans="3:13" ht="12.75" customHeight="1" x14ac:dyDescent="0.2">
      <c r="C61320"/>
      <c r="M61320"/>
    </row>
    <row r="61321" spans="3:13" ht="12.75" customHeight="1" x14ac:dyDescent="0.2">
      <c r="C61321"/>
      <c r="M61321"/>
    </row>
    <row r="61322" spans="3:13" ht="12.75" customHeight="1" x14ac:dyDescent="0.2">
      <c r="C61322"/>
      <c r="M61322"/>
    </row>
    <row r="61323" spans="3:13" ht="12.75" customHeight="1" x14ac:dyDescent="0.2">
      <c r="C61323"/>
      <c r="M61323"/>
    </row>
    <row r="61324" spans="3:13" ht="12.75" customHeight="1" x14ac:dyDescent="0.2">
      <c r="C61324"/>
      <c r="M61324"/>
    </row>
    <row r="61325" spans="3:13" ht="12.75" customHeight="1" x14ac:dyDescent="0.2">
      <c r="C61325"/>
      <c r="M61325"/>
    </row>
    <row r="61326" spans="3:13" ht="12.75" customHeight="1" x14ac:dyDescent="0.2">
      <c r="C61326"/>
      <c r="M61326"/>
    </row>
    <row r="61327" spans="3:13" ht="12.75" customHeight="1" x14ac:dyDescent="0.2">
      <c r="C61327"/>
      <c r="M61327"/>
    </row>
    <row r="61328" spans="3:13" ht="12.75" customHeight="1" x14ac:dyDescent="0.2">
      <c r="C61328"/>
      <c r="M61328"/>
    </row>
    <row r="61329" spans="3:13" ht="12.75" customHeight="1" x14ac:dyDescent="0.2">
      <c r="C61329"/>
      <c r="M61329"/>
    </row>
    <row r="61330" spans="3:13" ht="12.75" customHeight="1" x14ac:dyDescent="0.2">
      <c r="C61330"/>
      <c r="M61330"/>
    </row>
    <row r="61334" spans="3:13" ht="12.75" customHeight="1" x14ac:dyDescent="0.2">
      <c r="C61334"/>
      <c r="M61334"/>
    </row>
    <row r="61335" spans="3:13" ht="12.75" customHeight="1" x14ac:dyDescent="0.2">
      <c r="C61335"/>
      <c r="M61335"/>
    </row>
    <row r="61336" spans="3:13" ht="12.75" customHeight="1" x14ac:dyDescent="0.2">
      <c r="C61336"/>
      <c r="M61336"/>
    </row>
    <row r="61337" spans="3:13" ht="12.75" customHeight="1" x14ac:dyDescent="0.2">
      <c r="C61337"/>
      <c r="M61337"/>
    </row>
    <row r="61338" spans="3:13" ht="12.75" customHeight="1" x14ac:dyDescent="0.2">
      <c r="C61338"/>
      <c r="M61338"/>
    </row>
    <row r="61339" spans="3:13" ht="12.75" customHeight="1" x14ac:dyDescent="0.2">
      <c r="C61339"/>
      <c r="M61339"/>
    </row>
    <row r="61340" spans="3:13" ht="12.75" customHeight="1" x14ac:dyDescent="0.2">
      <c r="C61340"/>
      <c r="M61340"/>
    </row>
    <row r="61341" spans="3:13" ht="12.75" customHeight="1" x14ac:dyDescent="0.2">
      <c r="C61341"/>
      <c r="M61341"/>
    </row>
    <row r="61342" spans="3:13" ht="12.75" customHeight="1" x14ac:dyDescent="0.2">
      <c r="C61342"/>
      <c r="M61342"/>
    </row>
    <row r="61343" spans="3:13" ht="12.75" customHeight="1" x14ac:dyDescent="0.2">
      <c r="C61343"/>
      <c r="M61343"/>
    </row>
    <row r="61344" spans="3:13" ht="12.75" customHeight="1" x14ac:dyDescent="0.2">
      <c r="C61344"/>
      <c r="M61344"/>
    </row>
    <row r="61345" spans="3:13" ht="12.75" customHeight="1" x14ac:dyDescent="0.2">
      <c r="C61345"/>
      <c r="M61345"/>
    </row>
    <row r="61346" spans="3:13" ht="12.75" customHeight="1" x14ac:dyDescent="0.2">
      <c r="C61346"/>
      <c r="M61346"/>
    </row>
    <row r="61350" spans="3:13" ht="12.75" customHeight="1" x14ac:dyDescent="0.2">
      <c r="C61350"/>
      <c r="M61350"/>
    </row>
    <row r="61351" spans="3:13" ht="12.75" customHeight="1" x14ac:dyDescent="0.2">
      <c r="C61351"/>
      <c r="M61351"/>
    </row>
    <row r="61352" spans="3:13" ht="12.75" customHeight="1" x14ac:dyDescent="0.2">
      <c r="C61352"/>
      <c r="M61352"/>
    </row>
    <row r="61353" spans="3:13" ht="12.75" customHeight="1" x14ac:dyDescent="0.2">
      <c r="C61353"/>
      <c r="M61353"/>
    </row>
    <row r="61354" spans="3:13" ht="12.75" customHeight="1" x14ac:dyDescent="0.2">
      <c r="C61354"/>
      <c r="M61354"/>
    </row>
    <row r="61355" spans="3:13" ht="12.75" customHeight="1" x14ac:dyDescent="0.2">
      <c r="C61355"/>
      <c r="M61355"/>
    </row>
    <row r="61356" spans="3:13" ht="12.75" customHeight="1" x14ac:dyDescent="0.2">
      <c r="C61356"/>
      <c r="M61356"/>
    </row>
    <row r="61357" spans="3:13" ht="12.75" customHeight="1" x14ac:dyDescent="0.2">
      <c r="C61357"/>
      <c r="M61357"/>
    </row>
    <row r="61358" spans="3:13" ht="12.75" customHeight="1" x14ac:dyDescent="0.2">
      <c r="C61358"/>
      <c r="M61358"/>
    </row>
    <row r="61359" spans="3:13" ht="12.75" customHeight="1" x14ac:dyDescent="0.2">
      <c r="C61359"/>
      <c r="M61359"/>
    </row>
    <row r="61360" spans="3:13" ht="12.75" customHeight="1" x14ac:dyDescent="0.2">
      <c r="C61360"/>
      <c r="M61360"/>
    </row>
    <row r="61361" spans="3:13" ht="12.75" customHeight="1" x14ac:dyDescent="0.2">
      <c r="C61361"/>
      <c r="M61361"/>
    </row>
    <row r="61362" spans="3:13" ht="12.75" customHeight="1" x14ac:dyDescent="0.2">
      <c r="C61362"/>
      <c r="M61362"/>
    </row>
    <row r="61366" spans="3:13" ht="12.75" customHeight="1" x14ac:dyDescent="0.2">
      <c r="C61366"/>
      <c r="M61366"/>
    </row>
    <row r="61367" spans="3:13" ht="12.75" customHeight="1" x14ac:dyDescent="0.2">
      <c r="C61367"/>
      <c r="M61367"/>
    </row>
    <row r="61368" spans="3:13" ht="12.75" customHeight="1" x14ac:dyDescent="0.2">
      <c r="C61368"/>
      <c r="M61368"/>
    </row>
    <row r="61369" spans="3:13" ht="12.75" customHeight="1" x14ac:dyDescent="0.2">
      <c r="C61369"/>
      <c r="M61369"/>
    </row>
    <row r="61370" spans="3:13" ht="12.75" customHeight="1" x14ac:dyDescent="0.2">
      <c r="C61370"/>
      <c r="M61370"/>
    </row>
    <row r="61371" spans="3:13" ht="12.75" customHeight="1" x14ac:dyDescent="0.2">
      <c r="C61371"/>
      <c r="M61371"/>
    </row>
    <row r="61372" spans="3:13" ht="12.75" customHeight="1" x14ac:dyDescent="0.2">
      <c r="C61372"/>
      <c r="M61372"/>
    </row>
    <row r="61373" spans="3:13" ht="12.75" customHeight="1" x14ac:dyDescent="0.2">
      <c r="C61373"/>
      <c r="M61373"/>
    </row>
    <row r="61374" spans="3:13" ht="12.75" customHeight="1" x14ac:dyDescent="0.2">
      <c r="C61374"/>
      <c r="M61374"/>
    </row>
    <row r="61375" spans="3:13" ht="12.75" customHeight="1" x14ac:dyDescent="0.2">
      <c r="C61375"/>
      <c r="M61375"/>
    </row>
    <row r="61376" spans="3:13" ht="12.75" customHeight="1" x14ac:dyDescent="0.2">
      <c r="C61376"/>
      <c r="M61376"/>
    </row>
    <row r="61377" spans="3:13" ht="12.75" customHeight="1" x14ac:dyDescent="0.2">
      <c r="C61377"/>
      <c r="M61377"/>
    </row>
    <row r="61378" spans="3:13" ht="12.75" customHeight="1" x14ac:dyDescent="0.2">
      <c r="C61378"/>
      <c r="M61378"/>
    </row>
    <row r="61382" spans="3:13" ht="12.75" customHeight="1" x14ac:dyDescent="0.2">
      <c r="C61382"/>
      <c r="M61382"/>
    </row>
    <row r="61383" spans="3:13" ht="12.75" customHeight="1" x14ac:dyDescent="0.2">
      <c r="C61383"/>
      <c r="M61383"/>
    </row>
    <row r="61384" spans="3:13" ht="12.75" customHeight="1" x14ac:dyDescent="0.2">
      <c r="C61384"/>
      <c r="M61384"/>
    </row>
    <row r="61385" spans="3:13" ht="12.75" customHeight="1" x14ac:dyDescent="0.2">
      <c r="C61385"/>
      <c r="M61385"/>
    </row>
    <row r="61386" spans="3:13" ht="12.75" customHeight="1" x14ac:dyDescent="0.2">
      <c r="C61386"/>
      <c r="M61386"/>
    </row>
    <row r="61387" spans="3:13" ht="12.75" customHeight="1" x14ac:dyDescent="0.2">
      <c r="C61387"/>
      <c r="M61387"/>
    </row>
    <row r="61388" spans="3:13" ht="12.75" customHeight="1" x14ac:dyDescent="0.2">
      <c r="C61388"/>
      <c r="M61388"/>
    </row>
    <row r="61389" spans="3:13" ht="12.75" customHeight="1" x14ac:dyDescent="0.2">
      <c r="C61389"/>
      <c r="M61389"/>
    </row>
    <row r="61390" spans="3:13" ht="12.75" customHeight="1" x14ac:dyDescent="0.2">
      <c r="C61390"/>
      <c r="M61390"/>
    </row>
    <row r="61391" spans="3:13" ht="12.75" customHeight="1" x14ac:dyDescent="0.2">
      <c r="C61391"/>
      <c r="M61391"/>
    </row>
    <row r="61392" spans="3:13" ht="12.75" customHeight="1" x14ac:dyDescent="0.2">
      <c r="C61392"/>
      <c r="M61392"/>
    </row>
    <row r="61393" spans="3:13" ht="12.75" customHeight="1" x14ac:dyDescent="0.2">
      <c r="C61393"/>
      <c r="M61393"/>
    </row>
    <row r="61394" spans="3:13" ht="12.75" customHeight="1" x14ac:dyDescent="0.2">
      <c r="C61394"/>
      <c r="M61394"/>
    </row>
    <row r="61398" spans="3:13" ht="12.75" customHeight="1" x14ac:dyDescent="0.2">
      <c r="C61398"/>
      <c r="M61398"/>
    </row>
    <row r="61399" spans="3:13" ht="12.75" customHeight="1" x14ac:dyDescent="0.2">
      <c r="C61399"/>
      <c r="M61399"/>
    </row>
    <row r="61400" spans="3:13" ht="12.75" customHeight="1" x14ac:dyDescent="0.2">
      <c r="C61400"/>
      <c r="M61400"/>
    </row>
    <row r="61401" spans="3:13" ht="12.75" customHeight="1" x14ac:dyDescent="0.2">
      <c r="C61401"/>
      <c r="M61401"/>
    </row>
    <row r="61402" spans="3:13" ht="12.75" customHeight="1" x14ac:dyDescent="0.2">
      <c r="C61402"/>
      <c r="M61402"/>
    </row>
    <row r="61403" spans="3:13" ht="12.75" customHeight="1" x14ac:dyDescent="0.2">
      <c r="C61403"/>
      <c r="M61403"/>
    </row>
    <row r="61404" spans="3:13" ht="12.75" customHeight="1" x14ac:dyDescent="0.2">
      <c r="C61404"/>
      <c r="M61404"/>
    </row>
    <row r="61405" spans="3:13" ht="12.75" customHeight="1" x14ac:dyDescent="0.2">
      <c r="C61405"/>
      <c r="M61405"/>
    </row>
    <row r="61406" spans="3:13" ht="12.75" customHeight="1" x14ac:dyDescent="0.2">
      <c r="C61406"/>
      <c r="M61406"/>
    </row>
    <row r="61407" spans="3:13" ht="12.75" customHeight="1" x14ac:dyDescent="0.2">
      <c r="C61407"/>
      <c r="M61407"/>
    </row>
    <row r="61408" spans="3:13" ht="12.75" customHeight="1" x14ac:dyDescent="0.2">
      <c r="C61408"/>
      <c r="M61408"/>
    </row>
    <row r="61409" spans="3:13" ht="12.75" customHeight="1" x14ac:dyDescent="0.2">
      <c r="C61409"/>
      <c r="M61409"/>
    </row>
    <row r="61410" spans="3:13" ht="12.75" customHeight="1" x14ac:dyDescent="0.2">
      <c r="C61410"/>
      <c r="M61410"/>
    </row>
    <row r="61411" spans="3:13" ht="12.75" customHeight="1" x14ac:dyDescent="0.2">
      <c r="C61411"/>
      <c r="M61411"/>
    </row>
    <row r="61414" spans="3:13" ht="12.75" customHeight="1" x14ac:dyDescent="0.2">
      <c r="C61414"/>
      <c r="M61414"/>
    </row>
    <row r="61415" spans="3:13" ht="12.75" customHeight="1" x14ac:dyDescent="0.2">
      <c r="C61415"/>
      <c r="M61415"/>
    </row>
    <row r="61416" spans="3:13" ht="12.75" customHeight="1" x14ac:dyDescent="0.2">
      <c r="C61416"/>
      <c r="M61416"/>
    </row>
    <row r="61417" spans="3:13" ht="12.75" customHeight="1" x14ac:dyDescent="0.2">
      <c r="C61417"/>
      <c r="M61417"/>
    </row>
    <row r="61418" spans="3:13" ht="12.75" customHeight="1" x14ac:dyDescent="0.2">
      <c r="C61418"/>
      <c r="M61418"/>
    </row>
    <row r="61419" spans="3:13" ht="12.75" customHeight="1" x14ac:dyDescent="0.2">
      <c r="C61419"/>
      <c r="M61419"/>
    </row>
    <row r="61420" spans="3:13" ht="12.75" customHeight="1" x14ac:dyDescent="0.2">
      <c r="C61420"/>
      <c r="M61420"/>
    </row>
    <row r="61421" spans="3:13" ht="12.75" customHeight="1" x14ac:dyDescent="0.2">
      <c r="C61421"/>
      <c r="M61421"/>
    </row>
    <row r="61422" spans="3:13" ht="12.75" customHeight="1" x14ac:dyDescent="0.2">
      <c r="C61422"/>
      <c r="M61422"/>
    </row>
    <row r="61423" spans="3:13" ht="12.75" customHeight="1" x14ac:dyDescent="0.2">
      <c r="C61423"/>
      <c r="M61423"/>
    </row>
    <row r="61424" spans="3:13" ht="12.75" customHeight="1" x14ac:dyDescent="0.2">
      <c r="C61424"/>
      <c r="M61424"/>
    </row>
    <row r="61425" spans="3:13" ht="12.75" customHeight="1" x14ac:dyDescent="0.2">
      <c r="C61425"/>
      <c r="M61425"/>
    </row>
    <row r="61426" spans="3:13" ht="12.75" customHeight="1" x14ac:dyDescent="0.2">
      <c r="C61426"/>
      <c r="M61426"/>
    </row>
    <row r="61427" spans="3:13" ht="12.75" customHeight="1" x14ac:dyDescent="0.2">
      <c r="C61427"/>
      <c r="M61427"/>
    </row>
    <row r="61430" spans="3:13" ht="12.75" customHeight="1" x14ac:dyDescent="0.2">
      <c r="C61430"/>
      <c r="M61430"/>
    </row>
    <row r="61431" spans="3:13" ht="12.75" customHeight="1" x14ac:dyDescent="0.2">
      <c r="C61431"/>
      <c r="M61431"/>
    </row>
    <row r="61432" spans="3:13" ht="12.75" customHeight="1" x14ac:dyDescent="0.2">
      <c r="C61432"/>
      <c r="M61432"/>
    </row>
    <row r="61433" spans="3:13" ht="12.75" customHeight="1" x14ac:dyDescent="0.2">
      <c r="C61433"/>
      <c r="M61433"/>
    </row>
    <row r="61434" spans="3:13" ht="12.75" customHeight="1" x14ac:dyDescent="0.2">
      <c r="C61434"/>
      <c r="M61434"/>
    </row>
    <row r="61435" spans="3:13" ht="12.75" customHeight="1" x14ac:dyDescent="0.2">
      <c r="C61435"/>
      <c r="M61435"/>
    </row>
    <row r="61436" spans="3:13" ht="12.75" customHeight="1" x14ac:dyDescent="0.2">
      <c r="C61436"/>
      <c r="M61436"/>
    </row>
    <row r="61437" spans="3:13" ht="12.75" customHeight="1" x14ac:dyDescent="0.2">
      <c r="C61437"/>
      <c r="M61437"/>
    </row>
    <row r="61438" spans="3:13" ht="12.75" customHeight="1" x14ac:dyDescent="0.2">
      <c r="C61438"/>
      <c r="M61438"/>
    </row>
    <row r="61439" spans="3:13" ht="12.75" customHeight="1" x14ac:dyDescent="0.2">
      <c r="C61439"/>
      <c r="M61439"/>
    </row>
    <row r="61440" spans="3:13" ht="12.75" customHeight="1" x14ac:dyDescent="0.2">
      <c r="C61440"/>
      <c r="M61440"/>
    </row>
    <row r="61441" spans="3:13" ht="12.75" customHeight="1" x14ac:dyDescent="0.2">
      <c r="C61441"/>
      <c r="M61441"/>
    </row>
    <row r="61442" spans="3:13" ht="12.75" customHeight="1" x14ac:dyDescent="0.2">
      <c r="C61442"/>
      <c r="M61442"/>
    </row>
    <row r="61443" spans="3:13" ht="12.75" customHeight="1" x14ac:dyDescent="0.2">
      <c r="C61443"/>
      <c r="M61443"/>
    </row>
    <row r="61444" spans="3:13" ht="12.75" customHeight="1" x14ac:dyDescent="0.2">
      <c r="C61444"/>
      <c r="M61444"/>
    </row>
    <row r="61446" spans="3:13" ht="12.75" customHeight="1" x14ac:dyDescent="0.2">
      <c r="C61446"/>
      <c r="M61446"/>
    </row>
    <row r="61447" spans="3:13" ht="12.75" customHeight="1" x14ac:dyDescent="0.2">
      <c r="C61447"/>
      <c r="M61447"/>
    </row>
    <row r="61448" spans="3:13" ht="12.75" customHeight="1" x14ac:dyDescent="0.2">
      <c r="C61448"/>
      <c r="M61448"/>
    </row>
    <row r="61449" spans="3:13" ht="12.75" customHeight="1" x14ac:dyDescent="0.2">
      <c r="C61449"/>
      <c r="M61449"/>
    </row>
    <row r="61450" spans="3:13" ht="12.75" customHeight="1" x14ac:dyDescent="0.2">
      <c r="C61450"/>
      <c r="M61450"/>
    </row>
    <row r="61451" spans="3:13" ht="12.75" customHeight="1" x14ac:dyDescent="0.2">
      <c r="C61451"/>
      <c r="M61451"/>
    </row>
    <row r="61452" spans="3:13" ht="12.75" customHeight="1" x14ac:dyDescent="0.2">
      <c r="C61452"/>
      <c r="M61452"/>
    </row>
    <row r="61453" spans="3:13" ht="12.75" customHeight="1" x14ac:dyDescent="0.2">
      <c r="C61453"/>
      <c r="M61453"/>
    </row>
    <row r="61454" spans="3:13" ht="12.75" customHeight="1" x14ac:dyDescent="0.2">
      <c r="C61454"/>
      <c r="M61454"/>
    </row>
    <row r="61455" spans="3:13" ht="12.75" customHeight="1" x14ac:dyDescent="0.2">
      <c r="C61455"/>
      <c r="M61455"/>
    </row>
    <row r="61456" spans="3:13" ht="12.75" customHeight="1" x14ac:dyDescent="0.2">
      <c r="C61456"/>
      <c r="M61456"/>
    </row>
    <row r="61457" spans="3:13" ht="12.75" customHeight="1" x14ac:dyDescent="0.2">
      <c r="C61457"/>
      <c r="M61457"/>
    </row>
    <row r="61458" spans="3:13" ht="12.75" customHeight="1" x14ac:dyDescent="0.2">
      <c r="C61458"/>
      <c r="M61458"/>
    </row>
    <row r="61459" spans="3:13" ht="12.75" customHeight="1" x14ac:dyDescent="0.2">
      <c r="C61459"/>
      <c r="M61459"/>
    </row>
    <row r="61460" spans="3:13" ht="12.75" customHeight="1" x14ac:dyDescent="0.2">
      <c r="C61460"/>
      <c r="M61460"/>
    </row>
    <row r="61461" spans="3:13" ht="12.75" customHeight="1" x14ac:dyDescent="0.2">
      <c r="C61461"/>
      <c r="M61461"/>
    </row>
    <row r="61462" spans="3:13" ht="12.75" customHeight="1" x14ac:dyDescent="0.2">
      <c r="C61462"/>
      <c r="M61462"/>
    </row>
    <row r="61463" spans="3:13" ht="12.75" customHeight="1" x14ac:dyDescent="0.2">
      <c r="C61463"/>
      <c r="M61463"/>
    </row>
    <row r="61464" spans="3:13" ht="12.75" customHeight="1" x14ac:dyDescent="0.2">
      <c r="C61464"/>
      <c r="M61464"/>
    </row>
    <row r="61465" spans="3:13" ht="12.75" customHeight="1" x14ac:dyDescent="0.2">
      <c r="C61465"/>
      <c r="M61465"/>
    </row>
    <row r="61466" spans="3:13" ht="12.75" customHeight="1" x14ac:dyDescent="0.2">
      <c r="C61466"/>
      <c r="M61466"/>
    </row>
    <row r="61467" spans="3:13" ht="12.75" customHeight="1" x14ac:dyDescent="0.2">
      <c r="C61467"/>
      <c r="M61467"/>
    </row>
    <row r="61468" spans="3:13" ht="12.75" customHeight="1" x14ac:dyDescent="0.2">
      <c r="C61468"/>
      <c r="M61468"/>
    </row>
    <row r="61469" spans="3:13" ht="12.75" customHeight="1" x14ac:dyDescent="0.2">
      <c r="C61469"/>
      <c r="M61469"/>
    </row>
    <row r="61470" spans="3:13" ht="12.75" customHeight="1" x14ac:dyDescent="0.2">
      <c r="C61470"/>
      <c r="M61470"/>
    </row>
    <row r="61471" spans="3:13" ht="12.75" customHeight="1" x14ac:dyDescent="0.2">
      <c r="C61471"/>
      <c r="M61471"/>
    </row>
    <row r="61472" spans="3:13" ht="12.75" customHeight="1" x14ac:dyDescent="0.2">
      <c r="C61472"/>
      <c r="M61472"/>
    </row>
    <row r="61473" spans="3:13" ht="12.75" customHeight="1" x14ac:dyDescent="0.2">
      <c r="C61473"/>
      <c r="M61473"/>
    </row>
    <row r="61474" spans="3:13" ht="12.75" customHeight="1" x14ac:dyDescent="0.2">
      <c r="C61474"/>
      <c r="M61474"/>
    </row>
    <row r="61475" spans="3:13" ht="12.75" customHeight="1" x14ac:dyDescent="0.2">
      <c r="C61475"/>
      <c r="M61475"/>
    </row>
    <row r="61476" spans="3:13" ht="12.75" customHeight="1" x14ac:dyDescent="0.2">
      <c r="C61476"/>
      <c r="M61476"/>
    </row>
    <row r="61477" spans="3:13" ht="12.75" customHeight="1" x14ac:dyDescent="0.2">
      <c r="C61477"/>
      <c r="M61477"/>
    </row>
    <row r="61478" spans="3:13" ht="12.75" customHeight="1" x14ac:dyDescent="0.2">
      <c r="C61478"/>
      <c r="M61478"/>
    </row>
    <row r="61479" spans="3:13" ht="12.75" customHeight="1" x14ac:dyDescent="0.2">
      <c r="C61479"/>
      <c r="M61479"/>
    </row>
    <row r="61480" spans="3:13" ht="12.75" customHeight="1" x14ac:dyDescent="0.2">
      <c r="C61480"/>
      <c r="M61480"/>
    </row>
    <row r="61481" spans="3:13" ht="12.75" customHeight="1" x14ac:dyDescent="0.2">
      <c r="C61481"/>
      <c r="M61481"/>
    </row>
    <row r="61482" spans="3:13" ht="12.75" customHeight="1" x14ac:dyDescent="0.2">
      <c r="C61482"/>
      <c r="M61482"/>
    </row>
    <row r="61483" spans="3:13" ht="12.75" customHeight="1" x14ac:dyDescent="0.2">
      <c r="C61483"/>
      <c r="M61483"/>
    </row>
    <row r="61484" spans="3:13" ht="12.75" customHeight="1" x14ac:dyDescent="0.2">
      <c r="C61484"/>
      <c r="M61484"/>
    </row>
    <row r="61485" spans="3:13" ht="12.75" customHeight="1" x14ac:dyDescent="0.2">
      <c r="C61485"/>
      <c r="M61485"/>
    </row>
    <row r="61486" spans="3:13" ht="12.75" customHeight="1" x14ac:dyDescent="0.2">
      <c r="C61486"/>
      <c r="M61486"/>
    </row>
    <row r="61487" spans="3:13" ht="12.75" customHeight="1" x14ac:dyDescent="0.2">
      <c r="C61487"/>
      <c r="M61487"/>
    </row>
    <row r="61488" spans="3:13" ht="12.75" customHeight="1" x14ac:dyDescent="0.2">
      <c r="C61488"/>
      <c r="M61488"/>
    </row>
    <row r="61489" spans="3:13" ht="12.75" customHeight="1" x14ac:dyDescent="0.2">
      <c r="C61489"/>
      <c r="M61489"/>
    </row>
    <row r="61490" spans="3:13" ht="12.75" customHeight="1" x14ac:dyDescent="0.2">
      <c r="C61490"/>
      <c r="M61490"/>
    </row>
    <row r="61491" spans="3:13" ht="12.75" customHeight="1" x14ac:dyDescent="0.2">
      <c r="C61491"/>
      <c r="M61491"/>
    </row>
    <row r="61492" spans="3:13" ht="12.75" customHeight="1" x14ac:dyDescent="0.2">
      <c r="C61492"/>
      <c r="M61492"/>
    </row>
    <row r="61493" spans="3:13" ht="12.75" customHeight="1" x14ac:dyDescent="0.2">
      <c r="C61493"/>
      <c r="M61493"/>
    </row>
    <row r="61494" spans="3:13" ht="12.75" customHeight="1" x14ac:dyDescent="0.2">
      <c r="C61494"/>
      <c r="M61494"/>
    </row>
    <row r="61495" spans="3:13" ht="12.75" customHeight="1" x14ac:dyDescent="0.2">
      <c r="C61495"/>
      <c r="M61495"/>
    </row>
    <row r="61496" spans="3:13" ht="12.75" customHeight="1" x14ac:dyDescent="0.2">
      <c r="C61496"/>
      <c r="M61496"/>
    </row>
    <row r="61497" spans="3:13" ht="12.75" customHeight="1" x14ac:dyDescent="0.2">
      <c r="C61497"/>
      <c r="M61497"/>
    </row>
    <row r="61498" spans="3:13" ht="12.75" customHeight="1" x14ac:dyDescent="0.2">
      <c r="C61498"/>
      <c r="M61498"/>
    </row>
    <row r="61499" spans="3:13" ht="12.75" customHeight="1" x14ac:dyDescent="0.2">
      <c r="C61499"/>
      <c r="M61499"/>
    </row>
    <row r="61500" spans="3:13" ht="12.75" customHeight="1" x14ac:dyDescent="0.2">
      <c r="C61500"/>
      <c r="M61500"/>
    </row>
    <row r="61501" spans="3:13" ht="12.75" customHeight="1" x14ac:dyDescent="0.2">
      <c r="C61501"/>
      <c r="M61501"/>
    </row>
    <row r="61502" spans="3:13" ht="12.75" customHeight="1" x14ac:dyDescent="0.2">
      <c r="C61502"/>
      <c r="M61502"/>
    </row>
    <row r="61503" spans="3:13" ht="12.75" customHeight="1" x14ac:dyDescent="0.2">
      <c r="C61503"/>
      <c r="M61503"/>
    </row>
    <row r="61504" spans="3:13" ht="12.75" customHeight="1" x14ac:dyDescent="0.2">
      <c r="C61504"/>
      <c r="M61504"/>
    </row>
    <row r="61505" spans="3:13" ht="12.75" customHeight="1" x14ac:dyDescent="0.2">
      <c r="C61505"/>
      <c r="M61505"/>
    </row>
    <row r="61506" spans="3:13" ht="12.75" customHeight="1" x14ac:dyDescent="0.2">
      <c r="C61506"/>
      <c r="M61506"/>
    </row>
    <row r="61507" spans="3:13" ht="12.75" customHeight="1" x14ac:dyDescent="0.2">
      <c r="C61507"/>
      <c r="M61507"/>
    </row>
    <row r="61508" spans="3:13" ht="12.75" customHeight="1" x14ac:dyDescent="0.2">
      <c r="C61508"/>
      <c r="M61508"/>
    </row>
    <row r="61509" spans="3:13" ht="12.75" customHeight="1" x14ac:dyDescent="0.2">
      <c r="C61509"/>
      <c r="M61509"/>
    </row>
    <row r="61510" spans="3:13" ht="12.75" customHeight="1" x14ac:dyDescent="0.2">
      <c r="C61510"/>
      <c r="M61510"/>
    </row>
    <row r="61511" spans="3:13" ht="12.75" customHeight="1" x14ac:dyDescent="0.2">
      <c r="C61511"/>
      <c r="M61511"/>
    </row>
    <row r="61512" spans="3:13" ht="12.75" customHeight="1" x14ac:dyDescent="0.2">
      <c r="C61512"/>
      <c r="M61512"/>
    </row>
    <row r="61513" spans="3:13" ht="12.75" customHeight="1" x14ac:dyDescent="0.2">
      <c r="C61513"/>
      <c r="M61513"/>
    </row>
    <row r="61514" spans="3:13" ht="12.75" customHeight="1" x14ac:dyDescent="0.2">
      <c r="C61514"/>
      <c r="M61514"/>
    </row>
    <row r="61515" spans="3:13" ht="12.75" customHeight="1" x14ac:dyDescent="0.2">
      <c r="C61515"/>
      <c r="M61515"/>
    </row>
    <row r="61516" spans="3:13" ht="12.75" customHeight="1" x14ac:dyDescent="0.2">
      <c r="C61516"/>
      <c r="M61516"/>
    </row>
    <row r="61517" spans="3:13" ht="12.75" customHeight="1" x14ac:dyDescent="0.2">
      <c r="C61517"/>
      <c r="M61517"/>
    </row>
    <row r="61518" spans="3:13" ht="12.75" customHeight="1" x14ac:dyDescent="0.2">
      <c r="C61518"/>
      <c r="M61518"/>
    </row>
    <row r="61519" spans="3:13" ht="12.75" customHeight="1" x14ac:dyDescent="0.2">
      <c r="C61519"/>
      <c r="M61519"/>
    </row>
    <row r="61520" spans="3:13" ht="12.75" customHeight="1" x14ac:dyDescent="0.2">
      <c r="C61520"/>
      <c r="M61520"/>
    </row>
    <row r="61521" spans="3:13" ht="12.75" customHeight="1" x14ac:dyDescent="0.2">
      <c r="C61521"/>
      <c r="M61521"/>
    </row>
    <row r="61522" spans="3:13" ht="12.75" customHeight="1" x14ac:dyDescent="0.2">
      <c r="C61522"/>
      <c r="M61522"/>
    </row>
    <row r="61523" spans="3:13" ht="12.75" customHeight="1" x14ac:dyDescent="0.2">
      <c r="C61523"/>
      <c r="M61523"/>
    </row>
    <row r="61524" spans="3:13" ht="12.75" customHeight="1" x14ac:dyDescent="0.2">
      <c r="C61524"/>
      <c r="M61524"/>
    </row>
    <row r="61525" spans="3:13" ht="12.75" customHeight="1" x14ac:dyDescent="0.2">
      <c r="C61525"/>
      <c r="M61525"/>
    </row>
    <row r="61526" spans="3:13" ht="12.75" customHeight="1" x14ac:dyDescent="0.2">
      <c r="C61526"/>
      <c r="M61526"/>
    </row>
    <row r="61527" spans="3:13" ht="12.75" customHeight="1" x14ac:dyDescent="0.2">
      <c r="C61527"/>
      <c r="M61527"/>
    </row>
    <row r="61528" spans="3:13" ht="12.75" customHeight="1" x14ac:dyDescent="0.2">
      <c r="C61528"/>
      <c r="M61528"/>
    </row>
    <row r="61529" spans="3:13" ht="12.75" customHeight="1" x14ac:dyDescent="0.2">
      <c r="C61529"/>
      <c r="M61529"/>
    </row>
    <row r="61530" spans="3:13" ht="12.75" customHeight="1" x14ac:dyDescent="0.2">
      <c r="C61530"/>
      <c r="M61530"/>
    </row>
    <row r="61531" spans="3:13" ht="12.75" customHeight="1" x14ac:dyDescent="0.2">
      <c r="C61531"/>
      <c r="M61531"/>
    </row>
    <row r="61532" spans="3:13" ht="12.75" customHeight="1" x14ac:dyDescent="0.2">
      <c r="C61532"/>
      <c r="M61532"/>
    </row>
    <row r="61533" spans="3:13" ht="12.75" customHeight="1" x14ac:dyDescent="0.2">
      <c r="C61533"/>
      <c r="M61533"/>
    </row>
    <row r="61534" spans="3:13" ht="12.75" customHeight="1" x14ac:dyDescent="0.2">
      <c r="C61534"/>
      <c r="M61534"/>
    </row>
    <row r="61535" spans="3:13" ht="12.75" customHeight="1" x14ac:dyDescent="0.2">
      <c r="C61535"/>
      <c r="M61535"/>
    </row>
    <row r="61536" spans="3:13" ht="12.75" customHeight="1" x14ac:dyDescent="0.2">
      <c r="C61536"/>
      <c r="M61536"/>
    </row>
    <row r="61537" spans="3:13" ht="12.75" customHeight="1" x14ac:dyDescent="0.2">
      <c r="C61537"/>
      <c r="M61537"/>
    </row>
    <row r="61538" spans="3:13" ht="12.75" customHeight="1" x14ac:dyDescent="0.2">
      <c r="C61538"/>
      <c r="M61538"/>
    </row>
    <row r="61539" spans="3:13" ht="12.75" customHeight="1" x14ac:dyDescent="0.2">
      <c r="C61539"/>
      <c r="M61539"/>
    </row>
    <row r="61540" spans="3:13" ht="12.75" customHeight="1" x14ac:dyDescent="0.2">
      <c r="C61540"/>
      <c r="M61540"/>
    </row>
    <row r="61541" spans="3:13" ht="12.75" customHeight="1" x14ac:dyDescent="0.2">
      <c r="C61541"/>
      <c r="M61541"/>
    </row>
    <row r="61542" spans="3:13" ht="12.75" customHeight="1" x14ac:dyDescent="0.2">
      <c r="C61542"/>
      <c r="M61542"/>
    </row>
    <row r="61543" spans="3:13" ht="12.75" customHeight="1" x14ac:dyDescent="0.2">
      <c r="C61543"/>
      <c r="M61543"/>
    </row>
    <row r="61544" spans="3:13" ht="12.75" customHeight="1" x14ac:dyDescent="0.2">
      <c r="C61544"/>
      <c r="M61544"/>
    </row>
    <row r="61545" spans="3:13" ht="12.75" customHeight="1" x14ac:dyDescent="0.2">
      <c r="C61545"/>
      <c r="M61545"/>
    </row>
    <row r="61546" spans="3:13" ht="12.75" customHeight="1" x14ac:dyDescent="0.2">
      <c r="C61546"/>
      <c r="M61546"/>
    </row>
    <row r="61547" spans="3:13" ht="12.75" customHeight="1" x14ac:dyDescent="0.2">
      <c r="C61547"/>
      <c r="M61547"/>
    </row>
    <row r="61548" spans="3:13" ht="12.75" customHeight="1" x14ac:dyDescent="0.2">
      <c r="C61548"/>
      <c r="M61548"/>
    </row>
    <row r="61549" spans="3:13" ht="12.75" customHeight="1" x14ac:dyDescent="0.2">
      <c r="C61549"/>
      <c r="M61549"/>
    </row>
    <row r="61550" spans="3:13" ht="12.75" customHeight="1" x14ac:dyDescent="0.2">
      <c r="C61550"/>
      <c r="M61550"/>
    </row>
    <row r="61551" spans="3:13" ht="12.75" customHeight="1" x14ac:dyDescent="0.2">
      <c r="C61551"/>
      <c r="M61551"/>
    </row>
    <row r="61552" spans="3:13" ht="12.75" customHeight="1" x14ac:dyDescent="0.2">
      <c r="C61552"/>
      <c r="M61552"/>
    </row>
    <row r="61553" spans="3:13" ht="12.75" customHeight="1" x14ac:dyDescent="0.2">
      <c r="C61553"/>
      <c r="M61553"/>
    </row>
    <row r="61554" spans="3:13" ht="12.75" customHeight="1" x14ac:dyDescent="0.2">
      <c r="C61554"/>
      <c r="M61554"/>
    </row>
    <row r="61555" spans="3:13" ht="12.75" customHeight="1" x14ac:dyDescent="0.2">
      <c r="C61555"/>
      <c r="M61555"/>
    </row>
    <row r="61556" spans="3:13" ht="12.75" customHeight="1" x14ac:dyDescent="0.2">
      <c r="C61556"/>
      <c r="M61556"/>
    </row>
    <row r="61557" spans="3:13" ht="12.75" customHeight="1" x14ac:dyDescent="0.2">
      <c r="C61557"/>
      <c r="M61557"/>
    </row>
    <row r="61558" spans="3:13" ht="12.75" customHeight="1" x14ac:dyDescent="0.2">
      <c r="C61558"/>
      <c r="M61558"/>
    </row>
    <row r="61559" spans="3:13" ht="12.75" customHeight="1" x14ac:dyDescent="0.2">
      <c r="C61559"/>
      <c r="M61559"/>
    </row>
    <row r="61560" spans="3:13" ht="12.75" customHeight="1" x14ac:dyDescent="0.2">
      <c r="C61560"/>
      <c r="M61560"/>
    </row>
    <row r="61561" spans="3:13" ht="12.75" customHeight="1" x14ac:dyDescent="0.2">
      <c r="C61561"/>
      <c r="M61561"/>
    </row>
    <row r="61562" spans="3:13" ht="12.75" customHeight="1" x14ac:dyDescent="0.2">
      <c r="C61562"/>
      <c r="M61562"/>
    </row>
    <row r="61563" spans="3:13" ht="12.75" customHeight="1" x14ac:dyDescent="0.2">
      <c r="C61563"/>
      <c r="M61563"/>
    </row>
    <row r="61564" spans="3:13" ht="12.75" customHeight="1" x14ac:dyDescent="0.2">
      <c r="C61564"/>
      <c r="M61564"/>
    </row>
    <row r="61565" spans="3:13" ht="12.75" customHeight="1" x14ac:dyDescent="0.2">
      <c r="C61565"/>
      <c r="M61565"/>
    </row>
    <row r="61566" spans="3:13" ht="12.75" customHeight="1" x14ac:dyDescent="0.2">
      <c r="C61566"/>
      <c r="M61566"/>
    </row>
    <row r="61567" spans="3:13" ht="12.75" customHeight="1" x14ac:dyDescent="0.2">
      <c r="C61567"/>
      <c r="M61567"/>
    </row>
    <row r="61568" spans="3:13" ht="12.75" customHeight="1" x14ac:dyDescent="0.2">
      <c r="C61568"/>
      <c r="M61568"/>
    </row>
    <row r="61569" spans="3:13" ht="12.75" customHeight="1" x14ac:dyDescent="0.2">
      <c r="C61569"/>
      <c r="M61569"/>
    </row>
    <row r="61570" spans="3:13" ht="12.75" customHeight="1" x14ac:dyDescent="0.2">
      <c r="C61570"/>
      <c r="M61570"/>
    </row>
    <row r="61571" spans="3:13" ht="12.75" customHeight="1" x14ac:dyDescent="0.2">
      <c r="C61571"/>
      <c r="M61571"/>
    </row>
    <row r="61572" spans="3:13" ht="12.75" customHeight="1" x14ac:dyDescent="0.2">
      <c r="C61572"/>
      <c r="M61572"/>
    </row>
    <row r="61573" spans="3:13" ht="12.75" customHeight="1" x14ac:dyDescent="0.2">
      <c r="C61573"/>
      <c r="M61573"/>
    </row>
    <row r="61574" spans="3:13" ht="12.75" customHeight="1" x14ac:dyDescent="0.2">
      <c r="C61574"/>
      <c r="M61574"/>
    </row>
    <row r="61575" spans="3:13" ht="12.75" customHeight="1" x14ac:dyDescent="0.2">
      <c r="C61575"/>
      <c r="M61575"/>
    </row>
    <row r="61576" spans="3:13" ht="12.75" customHeight="1" x14ac:dyDescent="0.2">
      <c r="C61576"/>
      <c r="M61576"/>
    </row>
    <row r="61577" spans="3:13" ht="12.75" customHeight="1" x14ac:dyDescent="0.2">
      <c r="C61577"/>
      <c r="M61577"/>
    </row>
    <row r="61578" spans="3:13" ht="12.75" customHeight="1" x14ac:dyDescent="0.2">
      <c r="C61578"/>
      <c r="M61578"/>
    </row>
    <row r="61579" spans="3:13" ht="12.75" customHeight="1" x14ac:dyDescent="0.2">
      <c r="C61579"/>
      <c r="M61579"/>
    </row>
    <row r="61580" spans="3:13" ht="12.75" customHeight="1" x14ac:dyDescent="0.2">
      <c r="C61580"/>
      <c r="M61580"/>
    </row>
    <row r="61581" spans="3:13" ht="12.75" customHeight="1" x14ac:dyDescent="0.2">
      <c r="C61581"/>
      <c r="M61581"/>
    </row>
    <row r="61582" spans="3:13" ht="12.75" customHeight="1" x14ac:dyDescent="0.2">
      <c r="C61582"/>
      <c r="M61582"/>
    </row>
    <row r="61583" spans="3:13" ht="12.75" customHeight="1" x14ac:dyDescent="0.2">
      <c r="C61583"/>
      <c r="M61583"/>
    </row>
    <row r="61584" spans="3:13" ht="12.75" customHeight="1" x14ac:dyDescent="0.2">
      <c r="C61584"/>
      <c r="M61584"/>
    </row>
    <row r="61585" spans="3:13" ht="12.75" customHeight="1" x14ac:dyDescent="0.2">
      <c r="C61585"/>
      <c r="M61585"/>
    </row>
    <row r="61586" spans="3:13" ht="12.75" customHeight="1" x14ac:dyDescent="0.2">
      <c r="C61586"/>
      <c r="M61586"/>
    </row>
    <row r="61587" spans="3:13" ht="12.75" customHeight="1" x14ac:dyDescent="0.2">
      <c r="C61587"/>
      <c r="M61587"/>
    </row>
    <row r="61588" spans="3:13" ht="12.75" customHeight="1" x14ac:dyDescent="0.2">
      <c r="C61588"/>
      <c r="M61588"/>
    </row>
    <row r="61589" spans="3:13" ht="12.75" customHeight="1" x14ac:dyDescent="0.2">
      <c r="C61589"/>
      <c r="M61589"/>
    </row>
    <row r="61590" spans="3:13" ht="12.75" customHeight="1" x14ac:dyDescent="0.2">
      <c r="C61590"/>
      <c r="M61590"/>
    </row>
    <row r="61591" spans="3:13" ht="12.75" customHeight="1" x14ac:dyDescent="0.2">
      <c r="C61591"/>
      <c r="M61591"/>
    </row>
    <row r="61592" spans="3:13" ht="12.75" customHeight="1" x14ac:dyDescent="0.2">
      <c r="C61592"/>
      <c r="M61592"/>
    </row>
    <row r="61593" spans="3:13" ht="12.75" customHeight="1" x14ac:dyDescent="0.2">
      <c r="C61593"/>
      <c r="M61593"/>
    </row>
    <row r="61594" spans="3:13" ht="12.75" customHeight="1" x14ac:dyDescent="0.2">
      <c r="C61594"/>
      <c r="M61594"/>
    </row>
    <row r="61595" spans="3:13" ht="12.75" customHeight="1" x14ac:dyDescent="0.2">
      <c r="C61595"/>
      <c r="M61595"/>
    </row>
    <row r="61596" spans="3:13" ht="12.75" customHeight="1" x14ac:dyDescent="0.2">
      <c r="C61596"/>
      <c r="M61596"/>
    </row>
    <row r="61597" spans="3:13" ht="12.75" customHeight="1" x14ac:dyDescent="0.2">
      <c r="C61597"/>
      <c r="M61597"/>
    </row>
    <row r="61598" spans="3:13" ht="12.75" customHeight="1" x14ac:dyDescent="0.2">
      <c r="C61598"/>
      <c r="M61598"/>
    </row>
    <row r="61599" spans="3:13" ht="12.75" customHeight="1" x14ac:dyDescent="0.2">
      <c r="C61599"/>
      <c r="M61599"/>
    </row>
    <row r="61600" spans="3:13" ht="12.75" customHeight="1" x14ac:dyDescent="0.2">
      <c r="C61600"/>
      <c r="M61600"/>
    </row>
    <row r="61601" spans="3:13" ht="12.75" customHeight="1" x14ac:dyDescent="0.2">
      <c r="C61601"/>
      <c r="M61601"/>
    </row>
    <row r="61602" spans="3:13" ht="12.75" customHeight="1" x14ac:dyDescent="0.2">
      <c r="C61602"/>
      <c r="M61602"/>
    </row>
    <row r="61603" spans="3:13" ht="12.75" customHeight="1" x14ac:dyDescent="0.2">
      <c r="C61603"/>
      <c r="M61603"/>
    </row>
    <row r="61604" spans="3:13" ht="12.75" customHeight="1" x14ac:dyDescent="0.2">
      <c r="C61604"/>
      <c r="M61604"/>
    </row>
    <row r="61605" spans="3:13" ht="12.75" customHeight="1" x14ac:dyDescent="0.2">
      <c r="C61605"/>
      <c r="M61605"/>
    </row>
    <row r="61606" spans="3:13" ht="12.75" customHeight="1" x14ac:dyDescent="0.2">
      <c r="C61606"/>
      <c r="M61606"/>
    </row>
    <row r="61607" spans="3:13" ht="12.75" customHeight="1" x14ac:dyDescent="0.2">
      <c r="C61607"/>
      <c r="M61607"/>
    </row>
    <row r="61608" spans="3:13" ht="12.75" customHeight="1" x14ac:dyDescent="0.2">
      <c r="C61608"/>
      <c r="M61608"/>
    </row>
    <row r="61609" spans="3:13" ht="12.75" customHeight="1" x14ac:dyDescent="0.2">
      <c r="C61609"/>
      <c r="M61609"/>
    </row>
    <row r="61610" spans="3:13" ht="12.75" customHeight="1" x14ac:dyDescent="0.2">
      <c r="C61610"/>
      <c r="M61610"/>
    </row>
    <row r="61611" spans="3:13" ht="12.75" customHeight="1" x14ac:dyDescent="0.2">
      <c r="C61611"/>
      <c r="M61611"/>
    </row>
    <row r="61612" spans="3:13" ht="12.75" customHeight="1" x14ac:dyDescent="0.2">
      <c r="C61612"/>
      <c r="M61612"/>
    </row>
    <row r="61613" spans="3:13" ht="12.75" customHeight="1" x14ac:dyDescent="0.2">
      <c r="C61613"/>
      <c r="M61613"/>
    </row>
    <row r="61614" spans="3:13" ht="12.75" customHeight="1" x14ac:dyDescent="0.2">
      <c r="C61614"/>
      <c r="M61614"/>
    </row>
    <row r="61615" spans="3:13" ht="12.75" customHeight="1" x14ac:dyDescent="0.2">
      <c r="C61615"/>
      <c r="M61615"/>
    </row>
    <row r="61616" spans="3:13" ht="12.75" customHeight="1" x14ac:dyDescent="0.2">
      <c r="C61616"/>
      <c r="M61616"/>
    </row>
    <row r="61617" spans="3:13" ht="12.75" customHeight="1" x14ac:dyDescent="0.2">
      <c r="C61617"/>
      <c r="M61617"/>
    </row>
    <row r="61618" spans="3:13" ht="12.75" customHeight="1" x14ac:dyDescent="0.2">
      <c r="C61618"/>
      <c r="M61618"/>
    </row>
    <row r="61619" spans="3:13" ht="12.75" customHeight="1" x14ac:dyDescent="0.2">
      <c r="C61619"/>
      <c r="M61619"/>
    </row>
    <row r="61620" spans="3:13" ht="12.75" customHeight="1" x14ac:dyDescent="0.2">
      <c r="C61620"/>
      <c r="M61620"/>
    </row>
    <row r="61621" spans="3:13" ht="12.75" customHeight="1" x14ac:dyDescent="0.2">
      <c r="C61621"/>
      <c r="M61621"/>
    </row>
    <row r="61622" spans="3:13" ht="12.75" customHeight="1" x14ac:dyDescent="0.2">
      <c r="C61622"/>
      <c r="M61622"/>
    </row>
    <row r="61623" spans="3:13" ht="12.75" customHeight="1" x14ac:dyDescent="0.2">
      <c r="C61623"/>
      <c r="M61623"/>
    </row>
    <row r="61624" spans="3:13" ht="12.75" customHeight="1" x14ac:dyDescent="0.2">
      <c r="C61624"/>
      <c r="M61624"/>
    </row>
    <row r="61625" spans="3:13" ht="12.75" customHeight="1" x14ac:dyDescent="0.2">
      <c r="C61625"/>
      <c r="M61625"/>
    </row>
    <row r="61626" spans="3:13" ht="12.75" customHeight="1" x14ac:dyDescent="0.2">
      <c r="C61626"/>
      <c r="M61626"/>
    </row>
    <row r="61627" spans="3:13" ht="12.75" customHeight="1" x14ac:dyDescent="0.2">
      <c r="C61627"/>
      <c r="M61627"/>
    </row>
    <row r="61628" spans="3:13" ht="12.75" customHeight="1" x14ac:dyDescent="0.2">
      <c r="C61628"/>
      <c r="M61628"/>
    </row>
    <row r="61629" spans="3:13" ht="12.75" customHeight="1" x14ac:dyDescent="0.2">
      <c r="C61629"/>
      <c r="M61629"/>
    </row>
    <row r="61630" spans="3:13" ht="12.75" customHeight="1" x14ac:dyDescent="0.2">
      <c r="C61630"/>
      <c r="M61630"/>
    </row>
    <row r="61631" spans="3:13" ht="12.75" customHeight="1" x14ac:dyDescent="0.2">
      <c r="C61631"/>
      <c r="M61631"/>
    </row>
    <row r="61632" spans="3:13" ht="12.75" customHeight="1" x14ac:dyDescent="0.2">
      <c r="C61632"/>
      <c r="M61632"/>
    </row>
    <row r="61633" spans="3:13" ht="12.75" customHeight="1" x14ac:dyDescent="0.2">
      <c r="C61633"/>
      <c r="M61633"/>
    </row>
    <row r="61634" spans="3:13" ht="12.75" customHeight="1" x14ac:dyDescent="0.2">
      <c r="C61634"/>
      <c r="M61634"/>
    </row>
    <row r="61635" spans="3:13" ht="12.75" customHeight="1" x14ac:dyDescent="0.2">
      <c r="C61635"/>
      <c r="M61635"/>
    </row>
    <row r="61636" spans="3:13" ht="12.75" customHeight="1" x14ac:dyDescent="0.2">
      <c r="C61636"/>
      <c r="M61636"/>
    </row>
    <row r="61637" spans="3:13" ht="12.75" customHeight="1" x14ac:dyDescent="0.2">
      <c r="C61637"/>
      <c r="M61637"/>
    </row>
    <row r="61638" spans="3:13" ht="12.75" customHeight="1" x14ac:dyDescent="0.2">
      <c r="C61638"/>
      <c r="M61638"/>
    </row>
    <row r="61639" spans="3:13" ht="12.75" customHeight="1" x14ac:dyDescent="0.2">
      <c r="C61639"/>
      <c r="M61639"/>
    </row>
    <row r="61640" spans="3:13" ht="12.75" customHeight="1" x14ac:dyDescent="0.2">
      <c r="C61640"/>
      <c r="M61640"/>
    </row>
    <row r="61641" spans="3:13" ht="12.75" customHeight="1" x14ac:dyDescent="0.2">
      <c r="C61641"/>
      <c r="M61641"/>
    </row>
    <row r="61642" spans="3:13" ht="12.75" customHeight="1" x14ac:dyDescent="0.2">
      <c r="C61642"/>
      <c r="M61642"/>
    </row>
    <row r="61643" spans="3:13" ht="12.75" customHeight="1" x14ac:dyDescent="0.2">
      <c r="C61643"/>
      <c r="M61643"/>
    </row>
    <row r="61644" spans="3:13" ht="12.75" customHeight="1" x14ac:dyDescent="0.2">
      <c r="C61644"/>
      <c r="M61644"/>
    </row>
    <row r="61645" spans="3:13" ht="12.75" customHeight="1" x14ac:dyDescent="0.2">
      <c r="C61645"/>
      <c r="M61645"/>
    </row>
    <row r="61646" spans="3:13" ht="12.75" customHeight="1" x14ac:dyDescent="0.2">
      <c r="C61646"/>
      <c r="M61646"/>
    </row>
    <row r="61647" spans="3:13" ht="12.75" customHeight="1" x14ac:dyDescent="0.2">
      <c r="C61647"/>
      <c r="M61647"/>
    </row>
    <row r="61648" spans="3:13" ht="12.75" customHeight="1" x14ac:dyDescent="0.2">
      <c r="C61648"/>
      <c r="M61648"/>
    </row>
    <row r="61649" spans="3:13" ht="12.75" customHeight="1" x14ac:dyDescent="0.2">
      <c r="C61649"/>
      <c r="M61649"/>
    </row>
    <row r="61650" spans="3:13" ht="12.75" customHeight="1" x14ac:dyDescent="0.2">
      <c r="C61650"/>
      <c r="M61650"/>
    </row>
    <row r="61651" spans="3:13" ht="12.75" customHeight="1" x14ac:dyDescent="0.2">
      <c r="C61651"/>
      <c r="M61651"/>
    </row>
    <row r="61652" spans="3:13" ht="12.75" customHeight="1" x14ac:dyDescent="0.2">
      <c r="C61652"/>
      <c r="M61652"/>
    </row>
    <row r="61653" spans="3:13" ht="12.75" customHeight="1" x14ac:dyDescent="0.2">
      <c r="C61653"/>
      <c r="M61653"/>
    </row>
    <row r="61654" spans="3:13" ht="12.75" customHeight="1" x14ac:dyDescent="0.2">
      <c r="C61654"/>
      <c r="M61654"/>
    </row>
    <row r="61655" spans="3:13" ht="12.75" customHeight="1" x14ac:dyDescent="0.2">
      <c r="C61655"/>
      <c r="M61655"/>
    </row>
    <row r="61656" spans="3:13" ht="12.75" customHeight="1" x14ac:dyDescent="0.2">
      <c r="C61656"/>
      <c r="M61656"/>
    </row>
    <row r="61657" spans="3:13" ht="12.75" customHeight="1" x14ac:dyDescent="0.2">
      <c r="C61657"/>
      <c r="M61657"/>
    </row>
    <row r="61658" spans="3:13" ht="12.75" customHeight="1" x14ac:dyDescent="0.2">
      <c r="C61658"/>
      <c r="M61658"/>
    </row>
    <row r="61659" spans="3:13" ht="12.75" customHeight="1" x14ac:dyDescent="0.2">
      <c r="C61659"/>
      <c r="M61659"/>
    </row>
    <row r="61660" spans="3:13" ht="12.75" customHeight="1" x14ac:dyDescent="0.2">
      <c r="C61660"/>
      <c r="M61660"/>
    </row>
    <row r="61661" spans="3:13" ht="12.75" customHeight="1" x14ac:dyDescent="0.2">
      <c r="C61661"/>
      <c r="M61661"/>
    </row>
    <row r="61662" spans="3:13" ht="12.75" customHeight="1" x14ac:dyDescent="0.2">
      <c r="C61662"/>
      <c r="M61662"/>
    </row>
    <row r="61663" spans="3:13" ht="12.75" customHeight="1" x14ac:dyDescent="0.2">
      <c r="C61663"/>
      <c r="M61663"/>
    </row>
    <row r="61664" spans="3:13" ht="12.75" customHeight="1" x14ac:dyDescent="0.2">
      <c r="C61664"/>
      <c r="M61664"/>
    </row>
    <row r="61665" spans="3:13" ht="12.75" customHeight="1" x14ac:dyDescent="0.2">
      <c r="C61665"/>
      <c r="M61665"/>
    </row>
    <row r="61666" spans="3:13" ht="12.75" customHeight="1" x14ac:dyDescent="0.2">
      <c r="C61666"/>
      <c r="M61666"/>
    </row>
    <row r="61667" spans="3:13" ht="12.75" customHeight="1" x14ac:dyDescent="0.2">
      <c r="C61667"/>
      <c r="M61667"/>
    </row>
    <row r="61668" spans="3:13" ht="12.75" customHeight="1" x14ac:dyDescent="0.2">
      <c r="C61668"/>
      <c r="M61668"/>
    </row>
    <row r="61669" spans="3:13" ht="12.75" customHeight="1" x14ac:dyDescent="0.2">
      <c r="C61669"/>
      <c r="M61669"/>
    </row>
    <row r="61670" spans="3:13" ht="12.75" customHeight="1" x14ac:dyDescent="0.2">
      <c r="C61670"/>
      <c r="M61670"/>
    </row>
    <row r="61671" spans="3:13" ht="12.75" customHeight="1" x14ac:dyDescent="0.2">
      <c r="C61671"/>
      <c r="M61671"/>
    </row>
    <row r="61672" spans="3:13" ht="12.75" customHeight="1" x14ac:dyDescent="0.2">
      <c r="C61672"/>
      <c r="M61672"/>
    </row>
    <row r="61673" spans="3:13" ht="12.75" customHeight="1" x14ac:dyDescent="0.2">
      <c r="C61673"/>
      <c r="M61673"/>
    </row>
    <row r="61674" spans="3:13" ht="12.75" customHeight="1" x14ac:dyDescent="0.2">
      <c r="C61674"/>
      <c r="M61674"/>
    </row>
    <row r="61675" spans="3:13" ht="12.75" customHeight="1" x14ac:dyDescent="0.2">
      <c r="C61675"/>
      <c r="M61675"/>
    </row>
    <row r="61676" spans="3:13" ht="12.75" customHeight="1" x14ac:dyDescent="0.2">
      <c r="C61676"/>
      <c r="M61676"/>
    </row>
    <row r="61677" spans="3:13" ht="12.75" customHeight="1" x14ac:dyDescent="0.2">
      <c r="C61677"/>
      <c r="M61677"/>
    </row>
    <row r="61678" spans="3:13" ht="12.75" customHeight="1" x14ac:dyDescent="0.2">
      <c r="C61678"/>
      <c r="M61678"/>
    </row>
    <row r="61679" spans="3:13" ht="12.75" customHeight="1" x14ac:dyDescent="0.2">
      <c r="C61679"/>
      <c r="M61679"/>
    </row>
    <row r="61680" spans="3:13" ht="12.75" customHeight="1" x14ac:dyDescent="0.2">
      <c r="C61680"/>
      <c r="M61680"/>
    </row>
    <row r="61681" spans="3:13" ht="12.75" customHeight="1" x14ac:dyDescent="0.2">
      <c r="C61681"/>
      <c r="M61681"/>
    </row>
    <row r="61682" spans="3:13" ht="12.75" customHeight="1" x14ac:dyDescent="0.2">
      <c r="C61682"/>
      <c r="M61682"/>
    </row>
    <row r="61683" spans="3:13" ht="12.75" customHeight="1" x14ac:dyDescent="0.2">
      <c r="C61683"/>
      <c r="M61683"/>
    </row>
    <row r="61684" spans="3:13" ht="12.75" customHeight="1" x14ac:dyDescent="0.2">
      <c r="C61684"/>
      <c r="M61684"/>
    </row>
    <row r="61685" spans="3:13" ht="12.75" customHeight="1" x14ac:dyDescent="0.2">
      <c r="C61685"/>
      <c r="M61685"/>
    </row>
    <row r="61686" spans="3:13" ht="12.75" customHeight="1" x14ac:dyDescent="0.2">
      <c r="C61686"/>
      <c r="M61686"/>
    </row>
    <row r="61687" spans="3:13" ht="12.75" customHeight="1" x14ac:dyDescent="0.2">
      <c r="C61687"/>
      <c r="M61687"/>
    </row>
    <row r="61688" spans="3:13" ht="12.75" customHeight="1" x14ac:dyDescent="0.2">
      <c r="C61688"/>
      <c r="M61688"/>
    </row>
    <row r="61689" spans="3:13" ht="12.75" customHeight="1" x14ac:dyDescent="0.2">
      <c r="C61689"/>
      <c r="M61689"/>
    </row>
    <row r="61690" spans="3:13" ht="12.75" customHeight="1" x14ac:dyDescent="0.2">
      <c r="C61690"/>
      <c r="M61690"/>
    </row>
    <row r="61691" spans="3:13" ht="12.75" customHeight="1" x14ac:dyDescent="0.2">
      <c r="C61691"/>
      <c r="M61691"/>
    </row>
    <row r="61692" spans="3:13" ht="12.75" customHeight="1" x14ac:dyDescent="0.2">
      <c r="C61692"/>
      <c r="M61692"/>
    </row>
    <row r="61693" spans="3:13" ht="12.75" customHeight="1" x14ac:dyDescent="0.2">
      <c r="C61693"/>
      <c r="M61693"/>
    </row>
    <row r="61694" spans="3:13" ht="12.75" customHeight="1" x14ac:dyDescent="0.2">
      <c r="C61694"/>
      <c r="M61694"/>
    </row>
    <row r="61695" spans="3:13" ht="12.75" customHeight="1" x14ac:dyDescent="0.2">
      <c r="C61695"/>
      <c r="M61695"/>
    </row>
    <row r="61696" spans="3:13" ht="12.75" customHeight="1" x14ac:dyDescent="0.2">
      <c r="C61696"/>
      <c r="M61696"/>
    </row>
    <row r="61697" spans="3:13" ht="12.75" customHeight="1" x14ac:dyDescent="0.2">
      <c r="C61697"/>
      <c r="M61697"/>
    </row>
    <row r="61698" spans="3:13" ht="12.75" customHeight="1" x14ac:dyDescent="0.2">
      <c r="C61698"/>
      <c r="M61698"/>
    </row>
    <row r="61699" spans="3:13" ht="12.75" customHeight="1" x14ac:dyDescent="0.2">
      <c r="C61699"/>
      <c r="M61699"/>
    </row>
    <row r="61700" spans="3:13" ht="12.75" customHeight="1" x14ac:dyDescent="0.2">
      <c r="C61700"/>
      <c r="M61700"/>
    </row>
    <row r="61701" spans="3:13" ht="12.75" customHeight="1" x14ac:dyDescent="0.2">
      <c r="C61701"/>
      <c r="M61701"/>
    </row>
    <row r="61702" spans="3:13" ht="12.75" customHeight="1" x14ac:dyDescent="0.2">
      <c r="C61702"/>
      <c r="M61702"/>
    </row>
    <row r="61703" spans="3:13" ht="12.75" customHeight="1" x14ac:dyDescent="0.2">
      <c r="C61703"/>
      <c r="M61703"/>
    </row>
    <row r="61704" spans="3:13" ht="12.75" customHeight="1" x14ac:dyDescent="0.2">
      <c r="C61704"/>
      <c r="M61704"/>
    </row>
    <row r="61705" spans="3:13" ht="12.75" customHeight="1" x14ac:dyDescent="0.2">
      <c r="C61705"/>
      <c r="M61705"/>
    </row>
    <row r="61706" spans="3:13" ht="12.75" customHeight="1" x14ac:dyDescent="0.2">
      <c r="C61706"/>
      <c r="M61706"/>
    </row>
    <row r="61707" spans="3:13" ht="12.75" customHeight="1" x14ac:dyDescent="0.2">
      <c r="C61707"/>
      <c r="M61707"/>
    </row>
    <row r="61708" spans="3:13" ht="12.75" customHeight="1" x14ac:dyDescent="0.2">
      <c r="C61708"/>
      <c r="M61708"/>
    </row>
    <row r="61709" spans="3:13" ht="12.75" customHeight="1" x14ac:dyDescent="0.2">
      <c r="C61709"/>
      <c r="M61709"/>
    </row>
    <row r="61710" spans="3:13" ht="12.75" customHeight="1" x14ac:dyDescent="0.2">
      <c r="C61710"/>
      <c r="M61710"/>
    </row>
    <row r="61711" spans="3:13" ht="12.75" customHeight="1" x14ac:dyDescent="0.2">
      <c r="C61711"/>
      <c r="M61711"/>
    </row>
    <row r="61712" spans="3:13" ht="12.75" customHeight="1" x14ac:dyDescent="0.2">
      <c r="C61712"/>
      <c r="M61712"/>
    </row>
    <row r="61713" spans="3:13" ht="12.75" customHeight="1" x14ac:dyDescent="0.2">
      <c r="C61713"/>
      <c r="M61713"/>
    </row>
    <row r="61714" spans="3:13" ht="12.75" customHeight="1" x14ac:dyDescent="0.2">
      <c r="C61714"/>
      <c r="M61714"/>
    </row>
    <row r="61715" spans="3:13" ht="12.75" customHeight="1" x14ac:dyDescent="0.2">
      <c r="C61715"/>
      <c r="M61715"/>
    </row>
    <row r="61716" spans="3:13" ht="12.75" customHeight="1" x14ac:dyDescent="0.2">
      <c r="C61716"/>
      <c r="M61716"/>
    </row>
    <row r="61717" spans="3:13" ht="12.75" customHeight="1" x14ac:dyDescent="0.2">
      <c r="C61717"/>
      <c r="M61717"/>
    </row>
    <row r="61718" spans="3:13" ht="12.75" customHeight="1" x14ac:dyDescent="0.2">
      <c r="C61718"/>
      <c r="M61718"/>
    </row>
    <row r="61719" spans="3:13" ht="12.75" customHeight="1" x14ac:dyDescent="0.2">
      <c r="C61719"/>
      <c r="M61719"/>
    </row>
    <row r="61720" spans="3:13" ht="12.75" customHeight="1" x14ac:dyDescent="0.2">
      <c r="C61720"/>
      <c r="M61720"/>
    </row>
    <row r="61721" spans="3:13" ht="12.75" customHeight="1" x14ac:dyDescent="0.2">
      <c r="C61721"/>
      <c r="M61721"/>
    </row>
    <row r="61722" spans="3:13" ht="12.75" customHeight="1" x14ac:dyDescent="0.2">
      <c r="C61722"/>
      <c r="M61722"/>
    </row>
    <row r="61723" spans="3:13" ht="12.75" customHeight="1" x14ac:dyDescent="0.2">
      <c r="C61723"/>
      <c r="M61723"/>
    </row>
    <row r="61724" spans="3:13" ht="12.75" customHeight="1" x14ac:dyDescent="0.2">
      <c r="C61724"/>
      <c r="M61724"/>
    </row>
    <row r="61725" spans="3:13" ht="12.75" customHeight="1" x14ac:dyDescent="0.2">
      <c r="C61725"/>
      <c r="M61725"/>
    </row>
    <row r="61726" spans="3:13" ht="12.75" customHeight="1" x14ac:dyDescent="0.2">
      <c r="C61726"/>
      <c r="M61726"/>
    </row>
    <row r="61727" spans="3:13" ht="12.75" customHeight="1" x14ac:dyDescent="0.2">
      <c r="C61727"/>
      <c r="M61727"/>
    </row>
    <row r="61728" spans="3:13" ht="12.75" customHeight="1" x14ac:dyDescent="0.2">
      <c r="C61728"/>
      <c r="M61728"/>
    </row>
    <row r="61729" spans="3:13" ht="12.75" customHeight="1" x14ac:dyDescent="0.2">
      <c r="C61729"/>
      <c r="M61729"/>
    </row>
    <row r="61730" spans="3:13" ht="12.75" customHeight="1" x14ac:dyDescent="0.2">
      <c r="C61730"/>
      <c r="M61730"/>
    </row>
    <row r="61731" spans="3:13" ht="12.75" customHeight="1" x14ac:dyDescent="0.2">
      <c r="C61731"/>
      <c r="M61731"/>
    </row>
    <row r="61732" spans="3:13" ht="12.75" customHeight="1" x14ac:dyDescent="0.2">
      <c r="C61732"/>
      <c r="M61732"/>
    </row>
    <row r="61733" spans="3:13" ht="12.75" customHeight="1" x14ac:dyDescent="0.2">
      <c r="C61733"/>
      <c r="M61733"/>
    </row>
    <row r="61734" spans="3:13" ht="12.75" customHeight="1" x14ac:dyDescent="0.2">
      <c r="C61734"/>
      <c r="M61734"/>
    </row>
    <row r="61735" spans="3:13" ht="12.75" customHeight="1" x14ac:dyDescent="0.2">
      <c r="C61735"/>
      <c r="M61735"/>
    </row>
    <row r="61736" spans="3:13" ht="12.75" customHeight="1" x14ac:dyDescent="0.2">
      <c r="C61736"/>
      <c r="M61736"/>
    </row>
    <row r="61737" spans="3:13" ht="12.75" customHeight="1" x14ac:dyDescent="0.2">
      <c r="C61737"/>
      <c r="M61737"/>
    </row>
    <row r="61738" spans="3:13" ht="12.75" customHeight="1" x14ac:dyDescent="0.2">
      <c r="C61738"/>
      <c r="M61738"/>
    </row>
    <row r="61739" spans="3:13" ht="12.75" customHeight="1" x14ac:dyDescent="0.2">
      <c r="C61739"/>
      <c r="M61739"/>
    </row>
    <row r="61740" spans="3:13" ht="12.75" customHeight="1" x14ac:dyDescent="0.2">
      <c r="C61740"/>
      <c r="M61740"/>
    </row>
    <row r="61741" spans="3:13" ht="12.75" customHeight="1" x14ac:dyDescent="0.2">
      <c r="C61741"/>
      <c r="M61741"/>
    </row>
    <row r="61742" spans="3:13" ht="12.75" customHeight="1" x14ac:dyDescent="0.2">
      <c r="C61742"/>
      <c r="M61742"/>
    </row>
    <row r="61743" spans="3:13" ht="12.75" customHeight="1" x14ac:dyDescent="0.2">
      <c r="C61743"/>
      <c r="M61743"/>
    </row>
    <row r="61744" spans="3:13" ht="12.75" customHeight="1" x14ac:dyDescent="0.2">
      <c r="C61744"/>
      <c r="M61744"/>
    </row>
    <row r="61745" spans="3:13" ht="12.75" customHeight="1" x14ac:dyDescent="0.2">
      <c r="C61745"/>
      <c r="M61745"/>
    </row>
    <row r="61746" spans="3:13" ht="12.75" customHeight="1" x14ac:dyDescent="0.2">
      <c r="C61746"/>
      <c r="M61746"/>
    </row>
    <row r="61747" spans="3:13" ht="12.75" customHeight="1" x14ac:dyDescent="0.2">
      <c r="C61747"/>
      <c r="M61747"/>
    </row>
    <row r="61748" spans="3:13" ht="12.75" customHeight="1" x14ac:dyDescent="0.2">
      <c r="C61748"/>
      <c r="M61748"/>
    </row>
    <row r="61749" spans="3:13" ht="12.75" customHeight="1" x14ac:dyDescent="0.2">
      <c r="C61749"/>
      <c r="M61749"/>
    </row>
    <row r="61750" spans="3:13" ht="12.75" customHeight="1" x14ac:dyDescent="0.2">
      <c r="C61750"/>
      <c r="M61750"/>
    </row>
    <row r="61751" spans="3:13" ht="12.75" customHeight="1" x14ac:dyDescent="0.2">
      <c r="C61751"/>
      <c r="M61751"/>
    </row>
    <row r="61752" spans="3:13" ht="12.75" customHeight="1" x14ac:dyDescent="0.2">
      <c r="C61752"/>
      <c r="M61752"/>
    </row>
    <row r="61753" spans="3:13" ht="12.75" customHeight="1" x14ac:dyDescent="0.2">
      <c r="C61753"/>
      <c r="M61753"/>
    </row>
    <row r="61754" spans="3:13" ht="12.75" customHeight="1" x14ac:dyDescent="0.2">
      <c r="C61754"/>
      <c r="M61754"/>
    </row>
    <row r="61755" spans="3:13" ht="12.75" customHeight="1" x14ac:dyDescent="0.2">
      <c r="C61755"/>
      <c r="M61755"/>
    </row>
    <row r="61756" spans="3:13" ht="12.75" customHeight="1" x14ac:dyDescent="0.2">
      <c r="C61756"/>
      <c r="M61756"/>
    </row>
    <row r="61757" spans="3:13" ht="12.75" customHeight="1" x14ac:dyDescent="0.2">
      <c r="C61757"/>
      <c r="M61757"/>
    </row>
    <row r="61758" spans="3:13" ht="12.75" customHeight="1" x14ac:dyDescent="0.2">
      <c r="C61758"/>
      <c r="M61758"/>
    </row>
    <row r="61759" spans="3:13" ht="12.75" customHeight="1" x14ac:dyDescent="0.2">
      <c r="C61759"/>
      <c r="M61759"/>
    </row>
    <row r="61760" spans="3:13" ht="12.75" customHeight="1" x14ac:dyDescent="0.2">
      <c r="C61760"/>
      <c r="M61760"/>
    </row>
    <row r="61761" spans="3:13" ht="12.75" customHeight="1" x14ac:dyDescent="0.2">
      <c r="C61761"/>
      <c r="M61761"/>
    </row>
    <row r="61762" spans="3:13" ht="12.75" customHeight="1" x14ac:dyDescent="0.2">
      <c r="C61762"/>
      <c r="M61762"/>
    </row>
    <row r="61763" spans="3:13" ht="12.75" customHeight="1" x14ac:dyDescent="0.2">
      <c r="C61763"/>
      <c r="M61763"/>
    </row>
    <row r="61764" spans="3:13" ht="12.75" customHeight="1" x14ac:dyDescent="0.2">
      <c r="C61764"/>
      <c r="M61764"/>
    </row>
    <row r="61765" spans="3:13" ht="12.75" customHeight="1" x14ac:dyDescent="0.2">
      <c r="C61765"/>
      <c r="M61765"/>
    </row>
    <row r="61766" spans="3:13" ht="12.75" customHeight="1" x14ac:dyDescent="0.2">
      <c r="C61766"/>
      <c r="M61766"/>
    </row>
    <row r="61767" spans="3:13" ht="12.75" customHeight="1" x14ac:dyDescent="0.2">
      <c r="C61767"/>
      <c r="M61767"/>
    </row>
    <row r="61768" spans="3:13" ht="12.75" customHeight="1" x14ac:dyDescent="0.2">
      <c r="C61768"/>
      <c r="M61768"/>
    </row>
    <row r="61769" spans="3:13" ht="12.75" customHeight="1" x14ac:dyDescent="0.2">
      <c r="C61769"/>
      <c r="M61769"/>
    </row>
    <row r="61770" spans="3:13" ht="12.75" customHeight="1" x14ac:dyDescent="0.2">
      <c r="C61770"/>
      <c r="M61770"/>
    </row>
    <row r="61771" spans="3:13" ht="12.75" customHeight="1" x14ac:dyDescent="0.2">
      <c r="C61771"/>
      <c r="M61771"/>
    </row>
    <row r="61772" spans="3:13" ht="12.75" customHeight="1" x14ac:dyDescent="0.2">
      <c r="C61772"/>
      <c r="M61772"/>
    </row>
    <row r="61773" spans="3:13" ht="12.75" customHeight="1" x14ac:dyDescent="0.2">
      <c r="C61773"/>
      <c r="M61773"/>
    </row>
    <row r="61774" spans="3:13" ht="12.75" customHeight="1" x14ac:dyDescent="0.2">
      <c r="C61774"/>
      <c r="M61774"/>
    </row>
    <row r="61775" spans="3:13" ht="12.75" customHeight="1" x14ac:dyDescent="0.2">
      <c r="C61775"/>
      <c r="M61775"/>
    </row>
    <row r="61776" spans="3:13" ht="12.75" customHeight="1" x14ac:dyDescent="0.2">
      <c r="C61776"/>
      <c r="M61776"/>
    </row>
    <row r="61777" spans="3:13" ht="12.75" customHeight="1" x14ac:dyDescent="0.2">
      <c r="C61777"/>
      <c r="M61777"/>
    </row>
    <row r="61778" spans="3:13" ht="12.75" customHeight="1" x14ac:dyDescent="0.2">
      <c r="C61778"/>
      <c r="M61778"/>
    </row>
    <row r="61779" spans="3:13" ht="12.75" customHeight="1" x14ac:dyDescent="0.2">
      <c r="C61779"/>
      <c r="M61779"/>
    </row>
    <row r="61780" spans="3:13" ht="12.75" customHeight="1" x14ac:dyDescent="0.2">
      <c r="C61780"/>
      <c r="M61780"/>
    </row>
    <row r="61781" spans="3:13" ht="12.75" customHeight="1" x14ac:dyDescent="0.2">
      <c r="C61781"/>
      <c r="M61781"/>
    </row>
    <row r="61782" spans="3:13" ht="12.75" customHeight="1" x14ac:dyDescent="0.2">
      <c r="C61782"/>
      <c r="M61782"/>
    </row>
    <row r="61783" spans="3:13" ht="12.75" customHeight="1" x14ac:dyDescent="0.2">
      <c r="C61783"/>
      <c r="M61783"/>
    </row>
    <row r="61784" spans="3:13" ht="12.75" customHeight="1" x14ac:dyDescent="0.2">
      <c r="C61784"/>
      <c r="M61784"/>
    </row>
    <row r="61785" spans="3:13" ht="12.75" customHeight="1" x14ac:dyDescent="0.2">
      <c r="C61785"/>
      <c r="M61785"/>
    </row>
    <row r="61786" spans="3:13" ht="12.75" customHeight="1" x14ac:dyDescent="0.2">
      <c r="C61786"/>
      <c r="M61786"/>
    </row>
    <row r="61787" spans="3:13" ht="12.75" customHeight="1" x14ac:dyDescent="0.2">
      <c r="C61787"/>
      <c r="M61787"/>
    </row>
    <row r="61788" spans="3:13" ht="12.75" customHeight="1" x14ac:dyDescent="0.2">
      <c r="C61788"/>
      <c r="M61788"/>
    </row>
    <row r="61789" spans="3:13" ht="12.75" customHeight="1" x14ac:dyDescent="0.2">
      <c r="C61789"/>
      <c r="M61789"/>
    </row>
    <row r="61790" spans="3:13" ht="12.75" customHeight="1" x14ac:dyDescent="0.2">
      <c r="C61790"/>
      <c r="M61790"/>
    </row>
    <row r="61791" spans="3:13" ht="12.75" customHeight="1" x14ac:dyDescent="0.2">
      <c r="C61791"/>
      <c r="M61791"/>
    </row>
    <row r="61792" spans="3:13" ht="12.75" customHeight="1" x14ac:dyDescent="0.2">
      <c r="C61792"/>
      <c r="M61792"/>
    </row>
    <row r="61793" spans="3:13" ht="12.75" customHeight="1" x14ac:dyDescent="0.2">
      <c r="C61793"/>
      <c r="M61793"/>
    </row>
    <row r="61794" spans="3:13" ht="12.75" customHeight="1" x14ac:dyDescent="0.2">
      <c r="C61794"/>
      <c r="M61794"/>
    </row>
    <row r="61795" spans="3:13" ht="12.75" customHeight="1" x14ac:dyDescent="0.2">
      <c r="C61795"/>
      <c r="M61795"/>
    </row>
    <row r="61796" spans="3:13" ht="12.75" customHeight="1" x14ac:dyDescent="0.2">
      <c r="C61796"/>
      <c r="M61796"/>
    </row>
    <row r="61797" spans="3:13" ht="12.75" customHeight="1" x14ac:dyDescent="0.2">
      <c r="C61797"/>
      <c r="M61797"/>
    </row>
    <row r="61798" spans="3:13" ht="12.75" customHeight="1" x14ac:dyDescent="0.2">
      <c r="C61798"/>
      <c r="M61798"/>
    </row>
    <row r="61799" spans="3:13" ht="12.75" customHeight="1" x14ac:dyDescent="0.2">
      <c r="C61799"/>
      <c r="M61799"/>
    </row>
    <row r="61800" spans="3:13" ht="12.75" customHeight="1" x14ac:dyDescent="0.2">
      <c r="C61800"/>
      <c r="M61800"/>
    </row>
    <row r="61801" spans="3:13" ht="12.75" customHeight="1" x14ac:dyDescent="0.2">
      <c r="C61801"/>
      <c r="M61801"/>
    </row>
    <row r="61802" spans="3:13" ht="12.75" customHeight="1" x14ac:dyDescent="0.2">
      <c r="C61802"/>
      <c r="M61802"/>
    </row>
    <row r="61803" spans="3:13" ht="12.75" customHeight="1" x14ac:dyDescent="0.2">
      <c r="C61803"/>
      <c r="M61803"/>
    </row>
    <row r="61804" spans="3:13" ht="12.75" customHeight="1" x14ac:dyDescent="0.2">
      <c r="C61804"/>
      <c r="M61804"/>
    </row>
    <row r="61805" spans="3:13" ht="12.75" customHeight="1" x14ac:dyDescent="0.2">
      <c r="C61805"/>
      <c r="M61805"/>
    </row>
    <row r="61806" spans="3:13" ht="12.75" customHeight="1" x14ac:dyDescent="0.2">
      <c r="C61806"/>
      <c r="M61806"/>
    </row>
    <row r="61807" spans="3:13" ht="12.75" customHeight="1" x14ac:dyDescent="0.2">
      <c r="C61807"/>
      <c r="M61807"/>
    </row>
    <row r="61808" spans="3:13" ht="12.75" customHeight="1" x14ac:dyDescent="0.2">
      <c r="C61808"/>
      <c r="M61808"/>
    </row>
    <row r="61809" spans="3:13" ht="12.75" customHeight="1" x14ac:dyDescent="0.2">
      <c r="C61809"/>
      <c r="M61809"/>
    </row>
    <row r="61810" spans="3:13" ht="12.75" customHeight="1" x14ac:dyDescent="0.2">
      <c r="C61810"/>
      <c r="M61810"/>
    </row>
    <row r="61811" spans="3:13" ht="12.75" customHeight="1" x14ac:dyDescent="0.2">
      <c r="C61811"/>
      <c r="M61811"/>
    </row>
    <row r="61812" spans="3:13" ht="12.75" customHeight="1" x14ac:dyDescent="0.2">
      <c r="C61812"/>
      <c r="M61812"/>
    </row>
    <row r="61813" spans="3:13" ht="12.75" customHeight="1" x14ac:dyDescent="0.2">
      <c r="C61813"/>
      <c r="M61813"/>
    </row>
    <row r="61814" spans="3:13" ht="12.75" customHeight="1" x14ac:dyDescent="0.2">
      <c r="C61814"/>
      <c r="M61814"/>
    </row>
    <row r="61815" spans="3:13" ht="12.75" customHeight="1" x14ac:dyDescent="0.2">
      <c r="C61815"/>
      <c r="M61815"/>
    </row>
    <row r="61816" spans="3:13" ht="12.75" customHeight="1" x14ac:dyDescent="0.2">
      <c r="C61816"/>
      <c r="M61816"/>
    </row>
    <row r="61817" spans="3:13" ht="12.75" customHeight="1" x14ac:dyDescent="0.2">
      <c r="C61817"/>
      <c r="M61817"/>
    </row>
    <row r="61818" spans="3:13" ht="12.75" customHeight="1" x14ac:dyDescent="0.2">
      <c r="C61818"/>
      <c r="M61818"/>
    </row>
    <row r="61819" spans="3:13" ht="12.75" customHeight="1" x14ac:dyDescent="0.2">
      <c r="C61819"/>
      <c r="M61819"/>
    </row>
    <row r="61820" spans="3:13" ht="12.75" customHeight="1" x14ac:dyDescent="0.2">
      <c r="C61820"/>
      <c r="M61820"/>
    </row>
    <row r="61821" spans="3:13" ht="12.75" customHeight="1" x14ac:dyDescent="0.2">
      <c r="C61821"/>
      <c r="M61821"/>
    </row>
    <row r="61822" spans="3:13" ht="12.75" customHeight="1" x14ac:dyDescent="0.2">
      <c r="C61822"/>
      <c r="M61822"/>
    </row>
    <row r="61823" spans="3:13" ht="12.75" customHeight="1" x14ac:dyDescent="0.2">
      <c r="C61823"/>
      <c r="M61823"/>
    </row>
    <row r="61824" spans="3:13" ht="12.75" customHeight="1" x14ac:dyDescent="0.2">
      <c r="C61824"/>
      <c r="M61824"/>
    </row>
    <row r="61825" spans="3:13" ht="12.75" customHeight="1" x14ac:dyDescent="0.2">
      <c r="C61825"/>
      <c r="M61825"/>
    </row>
    <row r="61826" spans="3:13" ht="12.75" customHeight="1" x14ac:dyDescent="0.2">
      <c r="C61826"/>
      <c r="M61826"/>
    </row>
    <row r="61827" spans="3:13" ht="12.75" customHeight="1" x14ac:dyDescent="0.2">
      <c r="C61827"/>
      <c r="M61827"/>
    </row>
    <row r="61828" spans="3:13" ht="12.75" customHeight="1" x14ac:dyDescent="0.2">
      <c r="C61828"/>
      <c r="M61828"/>
    </row>
    <row r="61829" spans="3:13" ht="12.75" customHeight="1" x14ac:dyDescent="0.2">
      <c r="C61829"/>
      <c r="M61829"/>
    </row>
    <row r="61830" spans="3:13" ht="12.75" customHeight="1" x14ac:dyDescent="0.2">
      <c r="C61830"/>
      <c r="M61830"/>
    </row>
    <row r="61831" spans="3:13" ht="12.75" customHeight="1" x14ac:dyDescent="0.2">
      <c r="C61831"/>
      <c r="M61831"/>
    </row>
    <row r="61832" spans="3:13" ht="12.75" customHeight="1" x14ac:dyDescent="0.2">
      <c r="C61832"/>
      <c r="M61832"/>
    </row>
    <row r="61833" spans="3:13" ht="12.75" customHeight="1" x14ac:dyDescent="0.2">
      <c r="C61833"/>
      <c r="M61833"/>
    </row>
    <row r="61834" spans="3:13" ht="12.75" customHeight="1" x14ac:dyDescent="0.2">
      <c r="C61834"/>
      <c r="M61834"/>
    </row>
    <row r="61835" spans="3:13" ht="12.75" customHeight="1" x14ac:dyDescent="0.2">
      <c r="C61835"/>
      <c r="M61835"/>
    </row>
    <row r="61836" spans="3:13" ht="12.75" customHeight="1" x14ac:dyDescent="0.2">
      <c r="C61836"/>
      <c r="M61836"/>
    </row>
    <row r="61837" spans="3:13" ht="12.75" customHeight="1" x14ac:dyDescent="0.2">
      <c r="C61837"/>
      <c r="M61837"/>
    </row>
    <row r="61838" spans="3:13" ht="12.75" customHeight="1" x14ac:dyDescent="0.2">
      <c r="C61838"/>
      <c r="M61838"/>
    </row>
    <row r="61839" spans="3:13" ht="12.75" customHeight="1" x14ac:dyDescent="0.2">
      <c r="C61839"/>
      <c r="M61839"/>
    </row>
    <row r="61840" spans="3:13" ht="12.75" customHeight="1" x14ac:dyDescent="0.2">
      <c r="C61840"/>
      <c r="M61840"/>
    </row>
    <row r="61841" spans="3:13" ht="12.75" customHeight="1" x14ac:dyDescent="0.2">
      <c r="C61841"/>
      <c r="M61841"/>
    </row>
    <row r="61842" spans="3:13" ht="12.75" customHeight="1" x14ac:dyDescent="0.2">
      <c r="C61842"/>
      <c r="M61842"/>
    </row>
    <row r="61843" spans="3:13" ht="12.75" customHeight="1" x14ac:dyDescent="0.2">
      <c r="C61843"/>
      <c r="M61843"/>
    </row>
    <row r="61844" spans="3:13" ht="12.75" customHeight="1" x14ac:dyDescent="0.2">
      <c r="C61844"/>
      <c r="M61844"/>
    </row>
    <row r="61845" spans="3:13" ht="12.75" customHeight="1" x14ac:dyDescent="0.2">
      <c r="C61845"/>
      <c r="M61845"/>
    </row>
    <row r="61846" spans="3:13" ht="12.75" customHeight="1" x14ac:dyDescent="0.2">
      <c r="C61846"/>
      <c r="M61846"/>
    </row>
    <row r="61847" spans="3:13" ht="12.75" customHeight="1" x14ac:dyDescent="0.2">
      <c r="C61847"/>
      <c r="M61847"/>
    </row>
    <row r="61848" spans="3:13" ht="12.75" customHeight="1" x14ac:dyDescent="0.2">
      <c r="C61848"/>
      <c r="M61848"/>
    </row>
    <row r="61849" spans="3:13" ht="12.75" customHeight="1" x14ac:dyDescent="0.2">
      <c r="C61849"/>
      <c r="M61849"/>
    </row>
    <row r="61850" spans="3:13" ht="12.75" customHeight="1" x14ac:dyDescent="0.2">
      <c r="C61850"/>
      <c r="M61850"/>
    </row>
    <row r="61851" spans="3:13" ht="12.75" customHeight="1" x14ac:dyDescent="0.2">
      <c r="C61851"/>
      <c r="M61851"/>
    </row>
    <row r="61852" spans="3:13" ht="12.75" customHeight="1" x14ac:dyDescent="0.2">
      <c r="C61852"/>
      <c r="M61852"/>
    </row>
    <row r="61853" spans="3:13" ht="12.75" customHeight="1" x14ac:dyDescent="0.2">
      <c r="C61853"/>
      <c r="M61853"/>
    </row>
    <row r="61854" spans="3:13" ht="12.75" customHeight="1" x14ac:dyDescent="0.2">
      <c r="C61854"/>
      <c r="M61854"/>
    </row>
    <row r="61855" spans="3:13" ht="12.75" customHeight="1" x14ac:dyDescent="0.2">
      <c r="C61855"/>
      <c r="M61855"/>
    </row>
    <row r="61856" spans="3:13" ht="12.75" customHeight="1" x14ac:dyDescent="0.2">
      <c r="C61856"/>
      <c r="M61856"/>
    </row>
    <row r="61857" spans="3:13" ht="12.75" customHeight="1" x14ac:dyDescent="0.2">
      <c r="C61857"/>
      <c r="M61857"/>
    </row>
    <row r="61858" spans="3:13" ht="12.75" customHeight="1" x14ac:dyDescent="0.2">
      <c r="C61858"/>
      <c r="M61858"/>
    </row>
    <row r="61859" spans="3:13" ht="12.75" customHeight="1" x14ac:dyDescent="0.2">
      <c r="C61859"/>
      <c r="M61859"/>
    </row>
    <row r="61860" spans="3:13" ht="12.75" customHeight="1" x14ac:dyDescent="0.2">
      <c r="C61860"/>
      <c r="M61860"/>
    </row>
    <row r="61861" spans="3:13" ht="12.75" customHeight="1" x14ac:dyDescent="0.2">
      <c r="C61861"/>
      <c r="M61861"/>
    </row>
    <row r="61862" spans="3:13" ht="12.75" customHeight="1" x14ac:dyDescent="0.2">
      <c r="C61862"/>
      <c r="M61862"/>
    </row>
    <row r="61863" spans="3:13" ht="12.75" customHeight="1" x14ac:dyDescent="0.2">
      <c r="C61863"/>
      <c r="M61863"/>
    </row>
    <row r="61864" spans="3:13" ht="12.75" customHeight="1" x14ac:dyDescent="0.2">
      <c r="C61864"/>
      <c r="M61864"/>
    </row>
    <row r="61865" spans="3:13" ht="12.75" customHeight="1" x14ac:dyDescent="0.2">
      <c r="C61865"/>
      <c r="M61865"/>
    </row>
    <row r="61866" spans="3:13" ht="12.75" customHeight="1" x14ac:dyDescent="0.2">
      <c r="C61866"/>
      <c r="M61866"/>
    </row>
    <row r="61867" spans="3:13" ht="12.75" customHeight="1" x14ac:dyDescent="0.2">
      <c r="C61867"/>
      <c r="M61867"/>
    </row>
    <row r="61868" spans="3:13" ht="12.75" customHeight="1" x14ac:dyDescent="0.2">
      <c r="C61868"/>
      <c r="M61868"/>
    </row>
    <row r="61869" spans="3:13" ht="12.75" customHeight="1" x14ac:dyDescent="0.2">
      <c r="C61869"/>
      <c r="M61869"/>
    </row>
    <row r="61870" spans="3:13" ht="12.75" customHeight="1" x14ac:dyDescent="0.2">
      <c r="C61870"/>
      <c r="M61870"/>
    </row>
    <row r="61871" spans="3:13" ht="12.75" customHeight="1" x14ac:dyDescent="0.2">
      <c r="C61871"/>
      <c r="M61871"/>
    </row>
    <row r="61872" spans="3:13" ht="12.75" customHeight="1" x14ac:dyDescent="0.2">
      <c r="C61872"/>
      <c r="M61872"/>
    </row>
    <row r="61873" spans="3:13" ht="12.75" customHeight="1" x14ac:dyDescent="0.2">
      <c r="C61873"/>
      <c r="M61873"/>
    </row>
    <row r="61874" spans="3:13" ht="12.75" customHeight="1" x14ac:dyDescent="0.2">
      <c r="C61874"/>
      <c r="M61874"/>
    </row>
    <row r="61875" spans="3:13" ht="12.75" customHeight="1" x14ac:dyDescent="0.2">
      <c r="C61875"/>
      <c r="M61875"/>
    </row>
    <row r="61876" spans="3:13" ht="12.75" customHeight="1" x14ac:dyDescent="0.2">
      <c r="C61876"/>
      <c r="M61876"/>
    </row>
    <row r="61877" spans="3:13" ht="12.75" customHeight="1" x14ac:dyDescent="0.2">
      <c r="C61877"/>
      <c r="M61877"/>
    </row>
    <row r="61878" spans="3:13" ht="12.75" customHeight="1" x14ac:dyDescent="0.2">
      <c r="C61878"/>
      <c r="M61878"/>
    </row>
    <row r="61879" spans="3:13" ht="12.75" customHeight="1" x14ac:dyDescent="0.2">
      <c r="C61879"/>
      <c r="M61879"/>
    </row>
    <row r="61880" spans="3:13" ht="12.75" customHeight="1" x14ac:dyDescent="0.2">
      <c r="C61880"/>
      <c r="M61880"/>
    </row>
    <row r="61881" spans="3:13" ht="12.75" customHeight="1" x14ac:dyDescent="0.2">
      <c r="C61881"/>
      <c r="M61881"/>
    </row>
    <row r="61882" spans="3:13" ht="12.75" customHeight="1" x14ac:dyDescent="0.2">
      <c r="C61882"/>
      <c r="M61882"/>
    </row>
    <row r="61883" spans="3:13" ht="12.75" customHeight="1" x14ac:dyDescent="0.2">
      <c r="C61883"/>
      <c r="M61883"/>
    </row>
    <row r="61884" spans="3:13" ht="12.75" customHeight="1" x14ac:dyDescent="0.2">
      <c r="C61884"/>
      <c r="M61884"/>
    </row>
    <row r="61885" spans="3:13" ht="12.75" customHeight="1" x14ac:dyDescent="0.2">
      <c r="C61885"/>
      <c r="M61885"/>
    </row>
    <row r="61886" spans="3:13" ht="12.75" customHeight="1" x14ac:dyDescent="0.2">
      <c r="C61886"/>
      <c r="M61886"/>
    </row>
    <row r="61887" spans="3:13" ht="12.75" customHeight="1" x14ac:dyDescent="0.2">
      <c r="C61887"/>
      <c r="M61887"/>
    </row>
    <row r="61888" spans="3:13" ht="12.75" customHeight="1" x14ac:dyDescent="0.2">
      <c r="C61888"/>
      <c r="M61888"/>
    </row>
    <row r="61889" spans="3:13" ht="12.75" customHeight="1" x14ac:dyDescent="0.2">
      <c r="C61889"/>
      <c r="M61889"/>
    </row>
    <row r="61890" spans="3:13" ht="12.75" customHeight="1" x14ac:dyDescent="0.2">
      <c r="C61890"/>
      <c r="M61890"/>
    </row>
    <row r="61891" spans="3:13" ht="12.75" customHeight="1" x14ac:dyDescent="0.2">
      <c r="C61891"/>
      <c r="M61891"/>
    </row>
    <row r="61892" spans="3:13" ht="12.75" customHeight="1" x14ac:dyDescent="0.2">
      <c r="C61892"/>
      <c r="M61892"/>
    </row>
    <row r="61893" spans="3:13" ht="12.75" customHeight="1" x14ac:dyDescent="0.2">
      <c r="C61893"/>
      <c r="M61893"/>
    </row>
    <row r="61894" spans="3:13" ht="12.75" customHeight="1" x14ac:dyDescent="0.2">
      <c r="C61894"/>
      <c r="M61894"/>
    </row>
    <row r="61895" spans="3:13" ht="12.75" customHeight="1" x14ac:dyDescent="0.2">
      <c r="C61895"/>
      <c r="M61895"/>
    </row>
    <row r="61896" spans="3:13" ht="12.75" customHeight="1" x14ac:dyDescent="0.2">
      <c r="C61896"/>
      <c r="M61896"/>
    </row>
    <row r="61897" spans="3:13" ht="12.75" customHeight="1" x14ac:dyDescent="0.2">
      <c r="C61897"/>
      <c r="M61897"/>
    </row>
    <row r="61898" spans="3:13" ht="12.75" customHeight="1" x14ac:dyDescent="0.2">
      <c r="C61898"/>
      <c r="M61898"/>
    </row>
    <row r="61899" spans="3:13" ht="12.75" customHeight="1" x14ac:dyDescent="0.2">
      <c r="C61899"/>
      <c r="M61899"/>
    </row>
    <row r="61900" spans="3:13" ht="12.75" customHeight="1" x14ac:dyDescent="0.2">
      <c r="C61900"/>
      <c r="M61900"/>
    </row>
    <row r="61901" spans="3:13" ht="12.75" customHeight="1" x14ac:dyDescent="0.2">
      <c r="C61901"/>
      <c r="M61901"/>
    </row>
    <row r="61902" spans="3:13" ht="12.75" customHeight="1" x14ac:dyDescent="0.2">
      <c r="C61902"/>
      <c r="M61902"/>
    </row>
    <row r="61903" spans="3:13" ht="12.75" customHeight="1" x14ac:dyDescent="0.2">
      <c r="C61903"/>
      <c r="M61903"/>
    </row>
    <row r="61904" spans="3:13" ht="12.75" customHeight="1" x14ac:dyDescent="0.2">
      <c r="C61904"/>
      <c r="M61904"/>
    </row>
    <row r="61905" spans="3:13" ht="12.75" customHeight="1" x14ac:dyDescent="0.2">
      <c r="C61905"/>
      <c r="M61905"/>
    </row>
    <row r="61906" spans="3:13" ht="12.75" customHeight="1" x14ac:dyDescent="0.2">
      <c r="C61906"/>
      <c r="M61906"/>
    </row>
    <row r="61907" spans="3:13" ht="12.75" customHeight="1" x14ac:dyDescent="0.2">
      <c r="C61907"/>
      <c r="M61907"/>
    </row>
    <row r="61908" spans="3:13" ht="12.75" customHeight="1" x14ac:dyDescent="0.2">
      <c r="C61908"/>
      <c r="M61908"/>
    </row>
    <row r="61909" spans="3:13" ht="12.75" customHeight="1" x14ac:dyDescent="0.2">
      <c r="C61909"/>
      <c r="M61909"/>
    </row>
    <row r="61910" spans="3:13" ht="12.75" customHeight="1" x14ac:dyDescent="0.2">
      <c r="C61910"/>
      <c r="M61910"/>
    </row>
    <row r="61911" spans="3:13" ht="12.75" customHeight="1" x14ac:dyDescent="0.2">
      <c r="C61911"/>
      <c r="M61911"/>
    </row>
    <row r="61912" spans="3:13" ht="12.75" customHeight="1" x14ac:dyDescent="0.2">
      <c r="C61912"/>
      <c r="M61912"/>
    </row>
    <row r="61913" spans="3:13" ht="12.75" customHeight="1" x14ac:dyDescent="0.2">
      <c r="C61913"/>
      <c r="M61913"/>
    </row>
    <row r="61914" spans="3:13" ht="12.75" customHeight="1" x14ac:dyDescent="0.2">
      <c r="C61914"/>
      <c r="M61914"/>
    </row>
    <row r="61915" spans="3:13" ht="12.75" customHeight="1" x14ac:dyDescent="0.2">
      <c r="C61915"/>
      <c r="M61915"/>
    </row>
    <row r="61916" spans="3:13" ht="12.75" customHeight="1" x14ac:dyDescent="0.2">
      <c r="C61916"/>
      <c r="M61916"/>
    </row>
    <row r="61917" spans="3:13" ht="12.75" customHeight="1" x14ac:dyDescent="0.2">
      <c r="C61917"/>
      <c r="M61917"/>
    </row>
    <row r="61918" spans="3:13" ht="12.75" customHeight="1" x14ac:dyDescent="0.2">
      <c r="C61918"/>
      <c r="M61918"/>
    </row>
    <row r="61919" spans="3:13" ht="12.75" customHeight="1" x14ac:dyDescent="0.2">
      <c r="C61919"/>
      <c r="M61919"/>
    </row>
    <row r="61920" spans="3:13" ht="12.75" customHeight="1" x14ac:dyDescent="0.2">
      <c r="C61920"/>
      <c r="M61920"/>
    </row>
    <row r="61921" spans="3:13" ht="12.75" customHeight="1" x14ac:dyDescent="0.2">
      <c r="C61921"/>
      <c r="M61921"/>
    </row>
    <row r="61922" spans="3:13" ht="12.75" customHeight="1" x14ac:dyDescent="0.2">
      <c r="C61922"/>
      <c r="M61922"/>
    </row>
    <row r="61923" spans="3:13" ht="12.75" customHeight="1" x14ac:dyDescent="0.2">
      <c r="C61923"/>
      <c r="M61923"/>
    </row>
    <row r="61924" spans="3:13" ht="12.75" customHeight="1" x14ac:dyDescent="0.2">
      <c r="C61924"/>
      <c r="M61924"/>
    </row>
    <row r="61925" spans="3:13" ht="12.75" customHeight="1" x14ac:dyDescent="0.2">
      <c r="C61925"/>
      <c r="M61925"/>
    </row>
    <row r="61926" spans="3:13" ht="12.75" customHeight="1" x14ac:dyDescent="0.2">
      <c r="C61926"/>
      <c r="M61926"/>
    </row>
    <row r="61927" spans="3:13" ht="12.75" customHeight="1" x14ac:dyDescent="0.2">
      <c r="C61927"/>
      <c r="M61927"/>
    </row>
    <row r="61928" spans="3:13" ht="12.75" customHeight="1" x14ac:dyDescent="0.2">
      <c r="C61928"/>
      <c r="M61928"/>
    </row>
    <row r="61929" spans="3:13" ht="12.75" customHeight="1" x14ac:dyDescent="0.2">
      <c r="C61929"/>
      <c r="M61929"/>
    </row>
    <row r="61930" spans="3:13" ht="12.75" customHeight="1" x14ac:dyDescent="0.2">
      <c r="C61930"/>
      <c r="M61930"/>
    </row>
    <row r="61931" spans="3:13" ht="12.75" customHeight="1" x14ac:dyDescent="0.2">
      <c r="C61931"/>
      <c r="M61931"/>
    </row>
    <row r="61932" spans="3:13" ht="12.75" customHeight="1" x14ac:dyDescent="0.2">
      <c r="C61932"/>
      <c r="M61932"/>
    </row>
    <row r="61933" spans="3:13" ht="12.75" customHeight="1" x14ac:dyDescent="0.2">
      <c r="C61933"/>
      <c r="M61933"/>
    </row>
    <row r="61934" spans="3:13" ht="12.75" customHeight="1" x14ac:dyDescent="0.2">
      <c r="C61934"/>
      <c r="M61934"/>
    </row>
    <row r="61935" spans="3:13" ht="12.75" customHeight="1" x14ac:dyDescent="0.2">
      <c r="C61935"/>
      <c r="M61935"/>
    </row>
    <row r="61936" spans="3:13" ht="12.75" customHeight="1" x14ac:dyDescent="0.2">
      <c r="C61936"/>
      <c r="M61936"/>
    </row>
    <row r="61937" spans="3:13" ht="12.75" customHeight="1" x14ac:dyDescent="0.2">
      <c r="C61937"/>
      <c r="M61937"/>
    </row>
    <row r="61938" spans="3:13" ht="12.75" customHeight="1" x14ac:dyDescent="0.2">
      <c r="C61938"/>
      <c r="M61938"/>
    </row>
    <row r="61939" spans="3:13" ht="12.75" customHeight="1" x14ac:dyDescent="0.2">
      <c r="C61939"/>
      <c r="M61939"/>
    </row>
    <row r="61940" spans="3:13" ht="12.75" customHeight="1" x14ac:dyDescent="0.2">
      <c r="C61940"/>
      <c r="M61940"/>
    </row>
    <row r="61941" spans="3:13" ht="12.75" customHeight="1" x14ac:dyDescent="0.2">
      <c r="C61941"/>
      <c r="M61941"/>
    </row>
    <row r="61942" spans="3:13" ht="12.75" customHeight="1" x14ac:dyDescent="0.2">
      <c r="C61942"/>
      <c r="M61942"/>
    </row>
    <row r="61943" spans="3:13" ht="12.75" customHeight="1" x14ac:dyDescent="0.2">
      <c r="C61943"/>
      <c r="M61943"/>
    </row>
    <row r="61944" spans="3:13" ht="12.75" customHeight="1" x14ac:dyDescent="0.2">
      <c r="C61944"/>
      <c r="M61944"/>
    </row>
    <row r="61945" spans="3:13" ht="12.75" customHeight="1" x14ac:dyDescent="0.2">
      <c r="C61945"/>
      <c r="M61945"/>
    </row>
    <row r="61946" spans="3:13" ht="12.75" customHeight="1" x14ac:dyDescent="0.2">
      <c r="C61946"/>
      <c r="M61946"/>
    </row>
    <row r="61947" spans="3:13" ht="12.75" customHeight="1" x14ac:dyDescent="0.2">
      <c r="C61947"/>
      <c r="M61947"/>
    </row>
    <row r="61948" spans="3:13" ht="12.75" customHeight="1" x14ac:dyDescent="0.2">
      <c r="C61948"/>
      <c r="M61948"/>
    </row>
    <row r="61949" spans="3:13" ht="12.75" customHeight="1" x14ac:dyDescent="0.2">
      <c r="C61949"/>
      <c r="M61949"/>
    </row>
    <row r="61950" spans="3:13" ht="12.75" customHeight="1" x14ac:dyDescent="0.2">
      <c r="C61950"/>
      <c r="M61950"/>
    </row>
    <row r="61951" spans="3:13" ht="12.75" customHeight="1" x14ac:dyDescent="0.2">
      <c r="C61951"/>
      <c r="M61951"/>
    </row>
    <row r="61952" spans="3:13" ht="12.75" customHeight="1" x14ac:dyDescent="0.2">
      <c r="C61952"/>
      <c r="M61952"/>
    </row>
    <row r="61953" spans="3:13" ht="12.75" customHeight="1" x14ac:dyDescent="0.2">
      <c r="C61953"/>
      <c r="M61953"/>
    </row>
    <row r="61954" spans="3:13" ht="12.75" customHeight="1" x14ac:dyDescent="0.2">
      <c r="C61954"/>
      <c r="M61954"/>
    </row>
    <row r="61955" spans="3:13" ht="12.75" customHeight="1" x14ac:dyDescent="0.2">
      <c r="C61955"/>
      <c r="M61955"/>
    </row>
    <row r="61956" spans="3:13" ht="12.75" customHeight="1" x14ac:dyDescent="0.2">
      <c r="C61956"/>
      <c r="M61956"/>
    </row>
    <row r="61957" spans="3:13" ht="12.75" customHeight="1" x14ac:dyDescent="0.2">
      <c r="C61957"/>
      <c r="M61957"/>
    </row>
    <row r="61958" spans="3:13" ht="12.75" customHeight="1" x14ac:dyDescent="0.2">
      <c r="C61958"/>
      <c r="M61958"/>
    </row>
    <row r="61959" spans="3:13" ht="12.75" customHeight="1" x14ac:dyDescent="0.2">
      <c r="C61959"/>
      <c r="M61959"/>
    </row>
    <row r="61960" spans="3:13" ht="12.75" customHeight="1" x14ac:dyDescent="0.2">
      <c r="C61960"/>
      <c r="M61960"/>
    </row>
    <row r="61961" spans="3:13" ht="12.75" customHeight="1" x14ac:dyDescent="0.2">
      <c r="C61961"/>
      <c r="M61961"/>
    </row>
    <row r="61962" spans="3:13" ht="12.75" customHeight="1" x14ac:dyDescent="0.2">
      <c r="C61962"/>
      <c r="M61962"/>
    </row>
    <row r="61963" spans="3:13" ht="12.75" customHeight="1" x14ac:dyDescent="0.2">
      <c r="C61963"/>
      <c r="M61963"/>
    </row>
    <row r="61964" spans="3:13" ht="12.75" customHeight="1" x14ac:dyDescent="0.2">
      <c r="C61964"/>
      <c r="M61964"/>
    </row>
    <row r="61965" spans="3:13" ht="12.75" customHeight="1" x14ac:dyDescent="0.2">
      <c r="C61965"/>
      <c r="M61965"/>
    </row>
    <row r="61966" spans="3:13" ht="12.75" customHeight="1" x14ac:dyDescent="0.2">
      <c r="C61966"/>
      <c r="M61966"/>
    </row>
    <row r="61967" spans="3:13" ht="12.75" customHeight="1" x14ac:dyDescent="0.2">
      <c r="C61967"/>
      <c r="M61967"/>
    </row>
    <row r="61968" spans="3:13" ht="12.75" customHeight="1" x14ac:dyDescent="0.2">
      <c r="C61968"/>
      <c r="M61968"/>
    </row>
    <row r="61969" spans="3:13" ht="12.75" customHeight="1" x14ac:dyDescent="0.2">
      <c r="C61969"/>
      <c r="M61969"/>
    </row>
    <row r="61970" spans="3:13" ht="12.75" customHeight="1" x14ac:dyDescent="0.2">
      <c r="C61970"/>
      <c r="M61970"/>
    </row>
    <row r="61971" spans="3:13" ht="12.75" customHeight="1" x14ac:dyDescent="0.2">
      <c r="C61971"/>
      <c r="M61971"/>
    </row>
    <row r="61972" spans="3:13" ht="12.75" customHeight="1" x14ac:dyDescent="0.2">
      <c r="C61972"/>
      <c r="M61972"/>
    </row>
    <row r="61973" spans="3:13" ht="12.75" customHeight="1" x14ac:dyDescent="0.2">
      <c r="C61973"/>
      <c r="M61973"/>
    </row>
    <row r="61974" spans="3:13" ht="12.75" customHeight="1" x14ac:dyDescent="0.2">
      <c r="C61974"/>
      <c r="M61974"/>
    </row>
    <row r="61975" spans="3:13" ht="12.75" customHeight="1" x14ac:dyDescent="0.2">
      <c r="C61975"/>
      <c r="M61975"/>
    </row>
    <row r="61976" spans="3:13" ht="12.75" customHeight="1" x14ac:dyDescent="0.2">
      <c r="C61976"/>
      <c r="M61976"/>
    </row>
    <row r="61977" spans="3:13" ht="12.75" customHeight="1" x14ac:dyDescent="0.2">
      <c r="C61977"/>
      <c r="M61977"/>
    </row>
    <row r="61978" spans="3:13" ht="12.75" customHeight="1" x14ac:dyDescent="0.2">
      <c r="C61978"/>
      <c r="M61978"/>
    </row>
    <row r="61979" spans="3:13" ht="12.75" customHeight="1" x14ac:dyDescent="0.2">
      <c r="C61979"/>
      <c r="M61979"/>
    </row>
    <row r="61980" spans="3:13" ht="12.75" customHeight="1" x14ac:dyDescent="0.2">
      <c r="C61980"/>
      <c r="M61980"/>
    </row>
    <row r="61981" spans="3:13" ht="12.75" customHeight="1" x14ac:dyDescent="0.2">
      <c r="C61981"/>
      <c r="M61981"/>
    </row>
    <row r="61982" spans="3:13" ht="12.75" customHeight="1" x14ac:dyDescent="0.2">
      <c r="C61982"/>
      <c r="M61982"/>
    </row>
    <row r="61983" spans="3:13" ht="12.75" customHeight="1" x14ac:dyDescent="0.2">
      <c r="C61983"/>
      <c r="M61983"/>
    </row>
    <row r="61984" spans="3:13" ht="12.75" customHeight="1" x14ac:dyDescent="0.2">
      <c r="C61984"/>
      <c r="M61984"/>
    </row>
    <row r="61985" spans="3:13" ht="12.75" customHeight="1" x14ac:dyDescent="0.2">
      <c r="C61985"/>
      <c r="M61985"/>
    </row>
    <row r="61986" spans="3:13" ht="12.75" customHeight="1" x14ac:dyDescent="0.2">
      <c r="C61986"/>
      <c r="M61986"/>
    </row>
    <row r="61987" spans="3:13" ht="12.75" customHeight="1" x14ac:dyDescent="0.2">
      <c r="C61987"/>
      <c r="M61987"/>
    </row>
    <row r="61988" spans="3:13" ht="12.75" customHeight="1" x14ac:dyDescent="0.2">
      <c r="C61988"/>
      <c r="M61988"/>
    </row>
    <row r="61989" spans="3:13" ht="12.75" customHeight="1" x14ac:dyDescent="0.2">
      <c r="C61989"/>
      <c r="M61989"/>
    </row>
    <row r="61990" spans="3:13" ht="12.75" customHeight="1" x14ac:dyDescent="0.2">
      <c r="C61990"/>
      <c r="M61990"/>
    </row>
    <row r="61991" spans="3:13" ht="12.75" customHeight="1" x14ac:dyDescent="0.2">
      <c r="C61991"/>
      <c r="M61991"/>
    </row>
    <row r="61992" spans="3:13" ht="12.75" customHeight="1" x14ac:dyDescent="0.2">
      <c r="C61992"/>
      <c r="M61992"/>
    </row>
    <row r="61993" spans="3:13" ht="12.75" customHeight="1" x14ac:dyDescent="0.2">
      <c r="C61993"/>
      <c r="M61993"/>
    </row>
    <row r="61994" spans="3:13" ht="12.75" customHeight="1" x14ac:dyDescent="0.2">
      <c r="C61994"/>
      <c r="M61994"/>
    </row>
    <row r="61995" spans="3:13" ht="12.75" customHeight="1" x14ac:dyDescent="0.2">
      <c r="C61995"/>
      <c r="M61995"/>
    </row>
    <row r="61996" spans="3:13" ht="12.75" customHeight="1" x14ac:dyDescent="0.2">
      <c r="C61996"/>
      <c r="M61996"/>
    </row>
    <row r="61997" spans="3:13" ht="12.75" customHeight="1" x14ac:dyDescent="0.2">
      <c r="C61997"/>
      <c r="M61997"/>
    </row>
    <row r="61998" spans="3:13" ht="12.75" customHeight="1" x14ac:dyDescent="0.2">
      <c r="C61998"/>
      <c r="M61998"/>
    </row>
    <row r="61999" spans="3:13" ht="12.75" customHeight="1" x14ac:dyDescent="0.2">
      <c r="C61999"/>
      <c r="M61999"/>
    </row>
    <row r="62000" spans="3:13" ht="12.75" customHeight="1" x14ac:dyDescent="0.2">
      <c r="C62000"/>
      <c r="M62000"/>
    </row>
    <row r="62001" spans="3:13" ht="12.75" customHeight="1" x14ac:dyDescent="0.2">
      <c r="C62001"/>
      <c r="M62001"/>
    </row>
    <row r="62002" spans="3:13" ht="12.75" customHeight="1" x14ac:dyDescent="0.2">
      <c r="C62002"/>
      <c r="M62002"/>
    </row>
    <row r="62003" spans="3:13" ht="12.75" customHeight="1" x14ac:dyDescent="0.2">
      <c r="C62003"/>
      <c r="M62003"/>
    </row>
    <row r="62004" spans="3:13" ht="12.75" customHeight="1" x14ac:dyDescent="0.2">
      <c r="C62004"/>
      <c r="M62004"/>
    </row>
    <row r="62005" spans="3:13" ht="12.75" customHeight="1" x14ac:dyDescent="0.2">
      <c r="C62005"/>
      <c r="M62005"/>
    </row>
    <row r="62006" spans="3:13" ht="12.75" customHeight="1" x14ac:dyDescent="0.2">
      <c r="C62006"/>
      <c r="M62006"/>
    </row>
    <row r="62007" spans="3:13" ht="12.75" customHeight="1" x14ac:dyDescent="0.2">
      <c r="C62007"/>
      <c r="M62007"/>
    </row>
    <row r="62008" spans="3:13" ht="12.75" customHeight="1" x14ac:dyDescent="0.2">
      <c r="C62008"/>
      <c r="M62008"/>
    </row>
    <row r="62009" spans="3:13" ht="12.75" customHeight="1" x14ac:dyDescent="0.2">
      <c r="C62009"/>
      <c r="M62009"/>
    </row>
    <row r="62010" spans="3:13" ht="12.75" customHeight="1" x14ac:dyDescent="0.2">
      <c r="C62010"/>
      <c r="M62010"/>
    </row>
    <row r="62011" spans="3:13" ht="12.75" customHeight="1" x14ac:dyDescent="0.2">
      <c r="C62011"/>
      <c r="M62011"/>
    </row>
    <row r="62012" spans="3:13" ht="12.75" customHeight="1" x14ac:dyDescent="0.2">
      <c r="C62012"/>
      <c r="M62012"/>
    </row>
    <row r="62013" spans="3:13" ht="12.75" customHeight="1" x14ac:dyDescent="0.2">
      <c r="C62013"/>
      <c r="M62013"/>
    </row>
    <row r="62014" spans="3:13" ht="12.75" customHeight="1" x14ac:dyDescent="0.2">
      <c r="C62014"/>
      <c r="M62014"/>
    </row>
    <row r="62015" spans="3:13" ht="12.75" customHeight="1" x14ac:dyDescent="0.2">
      <c r="C62015"/>
      <c r="M62015"/>
    </row>
    <row r="62016" spans="3:13" ht="12.75" customHeight="1" x14ac:dyDescent="0.2">
      <c r="C62016"/>
      <c r="M62016"/>
    </row>
    <row r="62017" spans="3:13" ht="12.75" customHeight="1" x14ac:dyDescent="0.2">
      <c r="C62017"/>
      <c r="M62017"/>
    </row>
    <row r="62018" spans="3:13" ht="12.75" customHeight="1" x14ac:dyDescent="0.2">
      <c r="C62018"/>
      <c r="M62018"/>
    </row>
    <row r="62019" spans="3:13" ht="12.75" customHeight="1" x14ac:dyDescent="0.2">
      <c r="C62019"/>
      <c r="M62019"/>
    </row>
    <row r="62020" spans="3:13" ht="12.75" customHeight="1" x14ac:dyDescent="0.2">
      <c r="C62020"/>
      <c r="M62020"/>
    </row>
    <row r="62021" spans="3:13" ht="12.75" customHeight="1" x14ac:dyDescent="0.2">
      <c r="C62021"/>
      <c r="M62021"/>
    </row>
    <row r="62022" spans="3:13" ht="12.75" customHeight="1" x14ac:dyDescent="0.2">
      <c r="C62022"/>
      <c r="M62022"/>
    </row>
    <row r="62023" spans="3:13" ht="12.75" customHeight="1" x14ac:dyDescent="0.2">
      <c r="C62023"/>
      <c r="M62023"/>
    </row>
    <row r="62024" spans="3:13" ht="12.75" customHeight="1" x14ac:dyDescent="0.2">
      <c r="C62024"/>
      <c r="M62024"/>
    </row>
    <row r="62025" spans="3:13" ht="12.75" customHeight="1" x14ac:dyDescent="0.2">
      <c r="C62025"/>
      <c r="M62025"/>
    </row>
    <row r="62026" spans="3:13" ht="12.75" customHeight="1" x14ac:dyDescent="0.2">
      <c r="C62026"/>
      <c r="M62026"/>
    </row>
    <row r="62027" spans="3:13" ht="12.75" customHeight="1" x14ac:dyDescent="0.2">
      <c r="C62027"/>
      <c r="M62027"/>
    </row>
    <row r="62028" spans="3:13" ht="12.75" customHeight="1" x14ac:dyDescent="0.2">
      <c r="C62028"/>
      <c r="M62028"/>
    </row>
    <row r="62029" spans="3:13" ht="12.75" customHeight="1" x14ac:dyDescent="0.2">
      <c r="C62029"/>
      <c r="M62029"/>
    </row>
    <row r="62030" spans="3:13" ht="12.75" customHeight="1" x14ac:dyDescent="0.2">
      <c r="C62030"/>
      <c r="M62030"/>
    </row>
    <row r="62031" spans="3:13" ht="12.75" customHeight="1" x14ac:dyDescent="0.2">
      <c r="C62031"/>
      <c r="M62031"/>
    </row>
    <row r="62032" spans="3:13" ht="12.75" customHeight="1" x14ac:dyDescent="0.2">
      <c r="C62032"/>
      <c r="M62032"/>
    </row>
    <row r="62033" spans="3:13" ht="12.75" customHeight="1" x14ac:dyDescent="0.2">
      <c r="C62033"/>
      <c r="M62033"/>
    </row>
    <row r="62034" spans="3:13" ht="12.75" customHeight="1" x14ac:dyDescent="0.2">
      <c r="C62034"/>
      <c r="M62034"/>
    </row>
    <row r="62035" spans="3:13" ht="12.75" customHeight="1" x14ac:dyDescent="0.2">
      <c r="C62035"/>
      <c r="M62035"/>
    </row>
    <row r="62036" spans="3:13" ht="12.75" customHeight="1" x14ac:dyDescent="0.2">
      <c r="C62036"/>
      <c r="M62036"/>
    </row>
    <row r="62037" spans="3:13" ht="12.75" customHeight="1" x14ac:dyDescent="0.2">
      <c r="C62037"/>
      <c r="M62037"/>
    </row>
    <row r="62038" spans="3:13" ht="12.75" customHeight="1" x14ac:dyDescent="0.2">
      <c r="C62038"/>
      <c r="M62038"/>
    </row>
    <row r="62039" spans="3:13" ht="12.75" customHeight="1" x14ac:dyDescent="0.2">
      <c r="C62039"/>
      <c r="M62039"/>
    </row>
    <row r="62040" spans="3:13" ht="12.75" customHeight="1" x14ac:dyDescent="0.2">
      <c r="C62040"/>
      <c r="M62040"/>
    </row>
    <row r="62041" spans="3:13" ht="12.75" customHeight="1" x14ac:dyDescent="0.2">
      <c r="C62041"/>
      <c r="M62041"/>
    </row>
    <row r="62042" spans="3:13" ht="12.75" customHeight="1" x14ac:dyDescent="0.2">
      <c r="C62042"/>
      <c r="M62042"/>
    </row>
    <row r="62043" spans="3:13" ht="12.75" customHeight="1" x14ac:dyDescent="0.2">
      <c r="C62043"/>
      <c r="M62043"/>
    </row>
    <row r="62044" spans="3:13" ht="12.75" customHeight="1" x14ac:dyDescent="0.2">
      <c r="C62044"/>
      <c r="M62044"/>
    </row>
    <row r="62045" spans="3:13" ht="12.75" customHeight="1" x14ac:dyDescent="0.2">
      <c r="C62045"/>
      <c r="M62045"/>
    </row>
    <row r="62046" spans="3:13" ht="12.75" customHeight="1" x14ac:dyDescent="0.2">
      <c r="C62046"/>
      <c r="M62046"/>
    </row>
    <row r="62047" spans="3:13" ht="12.75" customHeight="1" x14ac:dyDescent="0.2">
      <c r="C62047"/>
      <c r="M62047"/>
    </row>
    <row r="62048" spans="3:13" ht="12.75" customHeight="1" x14ac:dyDescent="0.2">
      <c r="C62048"/>
      <c r="M62048"/>
    </row>
    <row r="62049" spans="3:13" ht="12.75" customHeight="1" x14ac:dyDescent="0.2">
      <c r="C62049"/>
      <c r="M62049"/>
    </row>
    <row r="62050" spans="3:13" ht="12.75" customHeight="1" x14ac:dyDescent="0.2">
      <c r="C62050"/>
      <c r="M62050"/>
    </row>
    <row r="62051" spans="3:13" ht="12.75" customHeight="1" x14ac:dyDescent="0.2">
      <c r="C62051"/>
      <c r="M62051"/>
    </row>
    <row r="62052" spans="3:13" ht="12.75" customHeight="1" x14ac:dyDescent="0.2">
      <c r="C62052"/>
      <c r="M62052"/>
    </row>
    <row r="62053" spans="3:13" ht="12.75" customHeight="1" x14ac:dyDescent="0.2">
      <c r="C62053"/>
      <c r="M62053"/>
    </row>
    <row r="62054" spans="3:13" ht="12.75" customHeight="1" x14ac:dyDescent="0.2">
      <c r="C62054"/>
      <c r="M62054"/>
    </row>
    <row r="62055" spans="3:13" ht="12.75" customHeight="1" x14ac:dyDescent="0.2">
      <c r="C62055"/>
      <c r="M62055"/>
    </row>
    <row r="62056" spans="3:13" ht="12.75" customHeight="1" x14ac:dyDescent="0.2">
      <c r="C62056"/>
      <c r="M62056"/>
    </row>
    <row r="62057" spans="3:13" ht="12.75" customHeight="1" x14ac:dyDescent="0.2">
      <c r="C62057"/>
      <c r="M62057"/>
    </row>
    <row r="62058" spans="3:13" ht="12.75" customHeight="1" x14ac:dyDescent="0.2">
      <c r="C62058"/>
      <c r="M62058"/>
    </row>
    <row r="62059" spans="3:13" ht="12.75" customHeight="1" x14ac:dyDescent="0.2">
      <c r="C62059"/>
      <c r="M62059"/>
    </row>
    <row r="62060" spans="3:13" ht="12.75" customHeight="1" x14ac:dyDescent="0.2">
      <c r="C62060"/>
      <c r="M62060"/>
    </row>
    <row r="62061" spans="3:13" ht="12.75" customHeight="1" x14ac:dyDescent="0.2">
      <c r="C62061"/>
      <c r="M62061"/>
    </row>
    <row r="62062" spans="3:13" ht="12.75" customHeight="1" x14ac:dyDescent="0.2">
      <c r="C62062"/>
      <c r="M62062"/>
    </row>
    <row r="62063" spans="3:13" ht="12.75" customHeight="1" x14ac:dyDescent="0.2">
      <c r="C62063"/>
      <c r="M62063"/>
    </row>
    <row r="62064" spans="3:13" ht="12.75" customHeight="1" x14ac:dyDescent="0.2">
      <c r="C62064"/>
      <c r="M62064"/>
    </row>
    <row r="62065" spans="3:13" ht="12.75" customHeight="1" x14ac:dyDescent="0.2">
      <c r="C62065"/>
      <c r="M62065"/>
    </row>
    <row r="62066" spans="3:13" ht="12.75" customHeight="1" x14ac:dyDescent="0.2">
      <c r="C62066"/>
      <c r="M62066"/>
    </row>
    <row r="62067" spans="3:13" ht="12.75" customHeight="1" x14ac:dyDescent="0.2">
      <c r="C62067"/>
      <c r="M62067"/>
    </row>
    <row r="62068" spans="3:13" ht="12.75" customHeight="1" x14ac:dyDescent="0.2">
      <c r="C62068"/>
      <c r="M62068"/>
    </row>
    <row r="62069" spans="3:13" ht="12.75" customHeight="1" x14ac:dyDescent="0.2">
      <c r="C62069"/>
      <c r="M62069"/>
    </row>
    <row r="62070" spans="3:13" ht="12.75" customHeight="1" x14ac:dyDescent="0.2">
      <c r="C62070"/>
      <c r="M62070"/>
    </row>
    <row r="62071" spans="3:13" ht="12.75" customHeight="1" x14ac:dyDescent="0.2">
      <c r="C62071"/>
      <c r="M62071"/>
    </row>
    <row r="62072" spans="3:13" ht="12.75" customHeight="1" x14ac:dyDescent="0.2">
      <c r="C62072"/>
      <c r="M62072"/>
    </row>
    <row r="62073" spans="3:13" ht="12.75" customHeight="1" x14ac:dyDescent="0.2">
      <c r="C62073"/>
      <c r="M62073"/>
    </row>
    <row r="62074" spans="3:13" ht="12.75" customHeight="1" x14ac:dyDescent="0.2">
      <c r="C62074"/>
      <c r="M62074"/>
    </row>
    <row r="62075" spans="3:13" ht="12.75" customHeight="1" x14ac:dyDescent="0.2">
      <c r="C62075"/>
      <c r="M62075"/>
    </row>
    <row r="62076" spans="3:13" ht="12.75" customHeight="1" x14ac:dyDescent="0.2">
      <c r="C62076"/>
      <c r="M62076"/>
    </row>
    <row r="62077" spans="3:13" ht="12.75" customHeight="1" x14ac:dyDescent="0.2">
      <c r="C62077"/>
      <c r="M62077"/>
    </row>
    <row r="62078" spans="3:13" ht="12.75" customHeight="1" x14ac:dyDescent="0.2">
      <c r="C62078"/>
      <c r="M62078"/>
    </row>
    <row r="62079" spans="3:13" ht="12.75" customHeight="1" x14ac:dyDescent="0.2">
      <c r="C62079"/>
      <c r="M62079"/>
    </row>
    <row r="62080" spans="3:13" ht="12.75" customHeight="1" x14ac:dyDescent="0.2">
      <c r="C62080"/>
      <c r="M62080"/>
    </row>
    <row r="62081" spans="3:13" ht="12.75" customHeight="1" x14ac:dyDescent="0.2">
      <c r="C62081"/>
      <c r="M62081"/>
    </row>
    <row r="62082" spans="3:13" ht="12.75" customHeight="1" x14ac:dyDescent="0.2">
      <c r="C62082"/>
      <c r="M62082"/>
    </row>
    <row r="62083" spans="3:13" ht="12.75" customHeight="1" x14ac:dyDescent="0.2">
      <c r="C62083"/>
      <c r="M62083"/>
    </row>
    <row r="62084" spans="3:13" ht="12.75" customHeight="1" x14ac:dyDescent="0.2">
      <c r="C62084"/>
      <c r="M62084"/>
    </row>
    <row r="62085" spans="3:13" ht="12.75" customHeight="1" x14ac:dyDescent="0.2">
      <c r="C62085"/>
      <c r="M62085"/>
    </row>
    <row r="62086" spans="3:13" ht="12.75" customHeight="1" x14ac:dyDescent="0.2">
      <c r="C62086"/>
      <c r="M62086"/>
    </row>
    <row r="62087" spans="3:13" ht="12.75" customHeight="1" x14ac:dyDescent="0.2">
      <c r="C62087"/>
      <c r="M62087"/>
    </row>
    <row r="62088" spans="3:13" ht="12.75" customHeight="1" x14ac:dyDescent="0.2">
      <c r="C62088"/>
      <c r="M62088"/>
    </row>
    <row r="62089" spans="3:13" ht="12.75" customHeight="1" x14ac:dyDescent="0.2">
      <c r="C62089"/>
      <c r="M62089"/>
    </row>
    <row r="62090" spans="3:13" ht="12.75" customHeight="1" x14ac:dyDescent="0.2">
      <c r="C62090"/>
      <c r="M62090"/>
    </row>
    <row r="62091" spans="3:13" ht="12.75" customHeight="1" x14ac:dyDescent="0.2">
      <c r="C62091"/>
      <c r="M62091"/>
    </row>
    <row r="62092" spans="3:13" ht="12.75" customHeight="1" x14ac:dyDescent="0.2">
      <c r="C62092"/>
      <c r="M62092"/>
    </row>
    <row r="62093" spans="3:13" ht="12.75" customHeight="1" x14ac:dyDescent="0.2">
      <c r="C62093"/>
      <c r="M62093"/>
    </row>
    <row r="62094" spans="3:13" ht="12.75" customHeight="1" x14ac:dyDescent="0.2">
      <c r="C62094"/>
      <c r="M62094"/>
    </row>
    <row r="62095" spans="3:13" ht="12.75" customHeight="1" x14ac:dyDescent="0.2">
      <c r="C62095"/>
      <c r="M62095"/>
    </row>
    <row r="62096" spans="3:13" ht="12.75" customHeight="1" x14ac:dyDescent="0.2">
      <c r="C62096"/>
      <c r="M62096"/>
    </row>
    <row r="62097" spans="3:13" ht="12.75" customHeight="1" x14ac:dyDescent="0.2">
      <c r="C62097"/>
      <c r="M62097"/>
    </row>
    <row r="62098" spans="3:13" ht="12.75" customHeight="1" x14ac:dyDescent="0.2">
      <c r="C62098"/>
      <c r="M62098"/>
    </row>
    <row r="62099" spans="3:13" ht="12.75" customHeight="1" x14ac:dyDescent="0.2">
      <c r="C62099"/>
      <c r="M62099"/>
    </row>
    <row r="62100" spans="3:13" ht="12.75" customHeight="1" x14ac:dyDescent="0.2">
      <c r="C62100"/>
      <c r="M62100"/>
    </row>
    <row r="62101" spans="3:13" ht="12.75" customHeight="1" x14ac:dyDescent="0.2">
      <c r="C62101"/>
      <c r="M62101"/>
    </row>
    <row r="62102" spans="3:13" ht="12.75" customHeight="1" x14ac:dyDescent="0.2">
      <c r="C62102"/>
      <c r="M62102"/>
    </row>
    <row r="62103" spans="3:13" ht="12.75" customHeight="1" x14ac:dyDescent="0.2">
      <c r="C62103"/>
      <c r="M62103"/>
    </row>
    <row r="62104" spans="3:13" ht="12.75" customHeight="1" x14ac:dyDescent="0.2">
      <c r="C62104"/>
      <c r="M62104"/>
    </row>
    <row r="62105" spans="3:13" ht="12.75" customHeight="1" x14ac:dyDescent="0.2">
      <c r="C62105"/>
      <c r="M62105"/>
    </row>
    <row r="62106" spans="3:13" ht="12.75" customHeight="1" x14ac:dyDescent="0.2">
      <c r="C62106"/>
      <c r="M62106"/>
    </row>
    <row r="62107" spans="3:13" ht="12.75" customHeight="1" x14ac:dyDescent="0.2">
      <c r="C62107"/>
      <c r="M62107"/>
    </row>
    <row r="62108" spans="3:13" ht="12.75" customHeight="1" x14ac:dyDescent="0.2">
      <c r="C62108"/>
      <c r="M62108"/>
    </row>
    <row r="62109" spans="3:13" ht="12.75" customHeight="1" x14ac:dyDescent="0.2">
      <c r="C62109"/>
      <c r="M62109"/>
    </row>
    <row r="62110" spans="3:13" ht="12.75" customHeight="1" x14ac:dyDescent="0.2">
      <c r="C62110"/>
      <c r="M62110"/>
    </row>
    <row r="62111" spans="3:13" ht="12.75" customHeight="1" x14ac:dyDescent="0.2">
      <c r="C62111"/>
      <c r="M62111"/>
    </row>
    <row r="62112" spans="3:13" ht="12.75" customHeight="1" x14ac:dyDescent="0.2">
      <c r="C62112"/>
      <c r="M62112"/>
    </row>
    <row r="62113" spans="3:13" ht="12.75" customHeight="1" x14ac:dyDescent="0.2">
      <c r="C62113"/>
      <c r="M62113"/>
    </row>
    <row r="62114" spans="3:13" ht="12.75" customHeight="1" x14ac:dyDescent="0.2">
      <c r="C62114"/>
      <c r="M62114"/>
    </row>
    <row r="62115" spans="3:13" ht="12.75" customHeight="1" x14ac:dyDescent="0.2">
      <c r="C62115"/>
      <c r="M62115"/>
    </row>
    <row r="62116" spans="3:13" ht="12.75" customHeight="1" x14ac:dyDescent="0.2">
      <c r="C62116"/>
      <c r="M62116"/>
    </row>
    <row r="62117" spans="3:13" ht="12.75" customHeight="1" x14ac:dyDescent="0.2">
      <c r="C62117"/>
      <c r="M62117"/>
    </row>
    <row r="62118" spans="3:13" ht="12.75" customHeight="1" x14ac:dyDescent="0.2">
      <c r="C62118"/>
      <c r="M62118"/>
    </row>
    <row r="62119" spans="3:13" ht="12.75" customHeight="1" x14ac:dyDescent="0.2">
      <c r="C62119"/>
      <c r="M62119"/>
    </row>
    <row r="62120" spans="3:13" ht="12.75" customHeight="1" x14ac:dyDescent="0.2">
      <c r="C62120"/>
      <c r="M62120"/>
    </row>
    <row r="62121" spans="3:13" ht="12.75" customHeight="1" x14ac:dyDescent="0.2">
      <c r="C62121"/>
      <c r="M62121"/>
    </row>
    <row r="62122" spans="3:13" ht="12.75" customHeight="1" x14ac:dyDescent="0.2">
      <c r="C62122"/>
      <c r="M62122"/>
    </row>
    <row r="62123" spans="3:13" ht="12.75" customHeight="1" x14ac:dyDescent="0.2">
      <c r="C62123"/>
      <c r="M62123"/>
    </row>
    <row r="62124" spans="3:13" ht="12.75" customHeight="1" x14ac:dyDescent="0.2">
      <c r="C62124"/>
      <c r="M62124"/>
    </row>
    <row r="62125" spans="3:13" ht="12.75" customHeight="1" x14ac:dyDescent="0.2">
      <c r="C62125"/>
      <c r="M62125"/>
    </row>
    <row r="62126" spans="3:13" ht="12.75" customHeight="1" x14ac:dyDescent="0.2">
      <c r="C62126"/>
      <c r="M62126"/>
    </row>
    <row r="62127" spans="3:13" ht="12.75" customHeight="1" x14ac:dyDescent="0.2">
      <c r="C62127"/>
      <c r="M62127"/>
    </row>
    <row r="62128" spans="3:13" ht="12.75" customHeight="1" x14ac:dyDescent="0.2">
      <c r="C62128"/>
      <c r="M62128"/>
    </row>
    <row r="62129" spans="3:13" ht="12.75" customHeight="1" x14ac:dyDescent="0.2">
      <c r="C62129"/>
      <c r="M62129"/>
    </row>
    <row r="62130" spans="3:13" ht="12.75" customHeight="1" x14ac:dyDescent="0.2">
      <c r="C62130"/>
      <c r="M62130"/>
    </row>
    <row r="62131" spans="3:13" ht="12.75" customHeight="1" x14ac:dyDescent="0.2">
      <c r="C62131"/>
      <c r="M62131"/>
    </row>
    <row r="62132" spans="3:13" ht="12.75" customHeight="1" x14ac:dyDescent="0.2">
      <c r="C62132"/>
      <c r="M62132"/>
    </row>
    <row r="62133" spans="3:13" ht="12.75" customHeight="1" x14ac:dyDescent="0.2">
      <c r="C62133"/>
      <c r="M62133"/>
    </row>
    <row r="62134" spans="3:13" ht="12.75" customHeight="1" x14ac:dyDescent="0.2">
      <c r="C62134"/>
      <c r="M62134"/>
    </row>
    <row r="62135" spans="3:13" ht="12.75" customHeight="1" x14ac:dyDescent="0.2">
      <c r="C62135"/>
      <c r="M62135"/>
    </row>
    <row r="62136" spans="3:13" ht="12.75" customHeight="1" x14ac:dyDescent="0.2">
      <c r="C62136"/>
      <c r="M62136"/>
    </row>
    <row r="62137" spans="3:13" ht="12.75" customHeight="1" x14ac:dyDescent="0.2">
      <c r="C62137"/>
      <c r="M62137"/>
    </row>
    <row r="62138" spans="3:13" ht="12.75" customHeight="1" x14ac:dyDescent="0.2">
      <c r="C62138"/>
      <c r="M62138"/>
    </row>
    <row r="62139" spans="3:13" ht="12.75" customHeight="1" x14ac:dyDescent="0.2">
      <c r="C62139"/>
      <c r="M62139"/>
    </row>
    <row r="62140" spans="3:13" ht="12.75" customHeight="1" x14ac:dyDescent="0.2">
      <c r="C62140"/>
      <c r="M62140"/>
    </row>
    <row r="62141" spans="3:13" ht="12.75" customHeight="1" x14ac:dyDescent="0.2">
      <c r="C62141"/>
      <c r="M62141"/>
    </row>
    <row r="62142" spans="3:13" ht="12.75" customHeight="1" x14ac:dyDescent="0.2">
      <c r="C62142"/>
      <c r="M62142"/>
    </row>
    <row r="62143" spans="3:13" ht="12.75" customHeight="1" x14ac:dyDescent="0.2">
      <c r="C62143"/>
      <c r="M62143"/>
    </row>
    <row r="62144" spans="3:13" ht="12.75" customHeight="1" x14ac:dyDescent="0.2">
      <c r="C62144"/>
      <c r="M62144"/>
    </row>
    <row r="62145" spans="3:13" ht="12.75" customHeight="1" x14ac:dyDescent="0.2">
      <c r="C62145"/>
      <c r="M62145"/>
    </row>
    <row r="62146" spans="3:13" ht="12.75" customHeight="1" x14ac:dyDescent="0.2">
      <c r="C62146"/>
      <c r="M62146"/>
    </row>
    <row r="62147" spans="3:13" ht="12.75" customHeight="1" x14ac:dyDescent="0.2">
      <c r="C62147"/>
      <c r="M62147"/>
    </row>
    <row r="62148" spans="3:13" ht="12.75" customHeight="1" x14ac:dyDescent="0.2">
      <c r="C62148"/>
      <c r="M62148"/>
    </row>
    <row r="62149" spans="3:13" ht="12.75" customHeight="1" x14ac:dyDescent="0.2">
      <c r="C62149"/>
      <c r="M62149"/>
    </row>
    <row r="62150" spans="3:13" ht="12.75" customHeight="1" x14ac:dyDescent="0.2">
      <c r="C62150"/>
      <c r="M62150"/>
    </row>
    <row r="62151" spans="3:13" ht="12.75" customHeight="1" x14ac:dyDescent="0.2">
      <c r="C62151"/>
      <c r="M62151"/>
    </row>
    <row r="62152" spans="3:13" ht="12.75" customHeight="1" x14ac:dyDescent="0.2">
      <c r="C62152"/>
      <c r="M62152"/>
    </row>
    <row r="62153" spans="3:13" ht="12.75" customHeight="1" x14ac:dyDescent="0.2">
      <c r="C62153"/>
      <c r="M62153"/>
    </row>
    <row r="62154" spans="3:13" ht="12.75" customHeight="1" x14ac:dyDescent="0.2">
      <c r="C62154"/>
      <c r="M62154"/>
    </row>
    <row r="62155" spans="3:13" ht="12.75" customHeight="1" x14ac:dyDescent="0.2">
      <c r="C62155"/>
      <c r="M62155"/>
    </row>
    <row r="62156" spans="3:13" ht="12.75" customHeight="1" x14ac:dyDescent="0.2">
      <c r="C62156"/>
      <c r="M62156"/>
    </row>
    <row r="62157" spans="3:13" ht="12.75" customHeight="1" x14ac:dyDescent="0.2">
      <c r="C62157"/>
      <c r="M62157"/>
    </row>
    <row r="62158" spans="3:13" ht="12.75" customHeight="1" x14ac:dyDescent="0.2">
      <c r="C62158"/>
      <c r="M62158"/>
    </row>
    <row r="62159" spans="3:13" ht="12.75" customHeight="1" x14ac:dyDescent="0.2">
      <c r="C62159"/>
      <c r="M62159"/>
    </row>
    <row r="62160" spans="3:13" ht="12.75" customHeight="1" x14ac:dyDescent="0.2">
      <c r="C62160"/>
      <c r="M62160"/>
    </row>
    <row r="62161" spans="3:13" ht="12.75" customHeight="1" x14ac:dyDescent="0.2">
      <c r="C62161"/>
      <c r="M62161"/>
    </row>
    <row r="62162" spans="3:13" ht="12.75" customHeight="1" x14ac:dyDescent="0.2">
      <c r="C62162"/>
      <c r="M62162"/>
    </row>
    <row r="62163" spans="3:13" ht="12.75" customHeight="1" x14ac:dyDescent="0.2">
      <c r="C62163"/>
      <c r="M62163"/>
    </row>
    <row r="62164" spans="3:13" ht="12.75" customHeight="1" x14ac:dyDescent="0.2">
      <c r="C62164"/>
      <c r="M62164"/>
    </row>
    <row r="62165" spans="3:13" ht="12.75" customHeight="1" x14ac:dyDescent="0.2">
      <c r="C62165"/>
      <c r="M62165"/>
    </row>
    <row r="62166" spans="3:13" ht="12.75" customHeight="1" x14ac:dyDescent="0.2">
      <c r="C62166"/>
      <c r="M62166"/>
    </row>
    <row r="62167" spans="3:13" ht="12.75" customHeight="1" x14ac:dyDescent="0.2">
      <c r="C62167"/>
      <c r="M62167"/>
    </row>
    <row r="62168" spans="3:13" ht="12.75" customHeight="1" x14ac:dyDescent="0.2">
      <c r="C62168"/>
      <c r="M62168"/>
    </row>
    <row r="62169" spans="3:13" ht="12.75" customHeight="1" x14ac:dyDescent="0.2">
      <c r="C62169"/>
      <c r="M62169"/>
    </row>
    <row r="62170" spans="3:13" ht="12.75" customHeight="1" x14ac:dyDescent="0.2">
      <c r="C62170"/>
      <c r="M62170"/>
    </row>
    <row r="62171" spans="3:13" ht="12.75" customHeight="1" x14ac:dyDescent="0.2">
      <c r="C62171"/>
      <c r="M62171"/>
    </row>
    <row r="62172" spans="3:13" ht="12.75" customHeight="1" x14ac:dyDescent="0.2">
      <c r="C62172"/>
      <c r="M62172"/>
    </row>
    <row r="62173" spans="3:13" ht="12.75" customHeight="1" x14ac:dyDescent="0.2">
      <c r="C62173"/>
      <c r="M62173"/>
    </row>
    <row r="62174" spans="3:13" ht="12.75" customHeight="1" x14ac:dyDescent="0.2">
      <c r="C62174"/>
      <c r="M62174"/>
    </row>
    <row r="62175" spans="3:13" ht="12.75" customHeight="1" x14ac:dyDescent="0.2">
      <c r="C62175"/>
      <c r="M62175"/>
    </row>
    <row r="62176" spans="3:13" ht="12.75" customHeight="1" x14ac:dyDescent="0.2">
      <c r="C62176"/>
      <c r="M62176"/>
    </row>
    <row r="62177" spans="3:13" ht="12.75" customHeight="1" x14ac:dyDescent="0.2">
      <c r="C62177"/>
      <c r="M62177"/>
    </row>
    <row r="62178" spans="3:13" ht="12.75" customHeight="1" x14ac:dyDescent="0.2">
      <c r="C62178"/>
      <c r="M62178"/>
    </row>
    <row r="62179" spans="3:13" ht="12.75" customHeight="1" x14ac:dyDescent="0.2">
      <c r="C62179"/>
      <c r="M62179"/>
    </row>
    <row r="62180" spans="3:13" ht="12.75" customHeight="1" x14ac:dyDescent="0.2">
      <c r="C62180"/>
      <c r="M62180"/>
    </row>
    <row r="62181" spans="3:13" ht="12.75" customHeight="1" x14ac:dyDescent="0.2">
      <c r="C62181"/>
      <c r="M62181"/>
    </row>
    <row r="62182" spans="3:13" ht="12.75" customHeight="1" x14ac:dyDescent="0.2">
      <c r="C62182"/>
      <c r="M62182"/>
    </row>
    <row r="62183" spans="3:13" ht="12.75" customHeight="1" x14ac:dyDescent="0.2">
      <c r="C62183"/>
      <c r="M62183"/>
    </row>
    <row r="62184" spans="3:13" ht="12.75" customHeight="1" x14ac:dyDescent="0.2">
      <c r="C62184"/>
      <c r="M62184"/>
    </row>
    <row r="62185" spans="3:13" ht="12.75" customHeight="1" x14ac:dyDescent="0.2">
      <c r="C62185"/>
      <c r="M62185"/>
    </row>
    <row r="62186" spans="3:13" ht="12.75" customHeight="1" x14ac:dyDescent="0.2">
      <c r="C62186"/>
      <c r="M62186"/>
    </row>
    <row r="62187" spans="3:13" ht="12.75" customHeight="1" x14ac:dyDescent="0.2">
      <c r="C62187"/>
      <c r="M62187"/>
    </row>
    <row r="62188" spans="3:13" ht="12.75" customHeight="1" x14ac:dyDescent="0.2">
      <c r="C62188"/>
      <c r="M62188"/>
    </row>
    <row r="62189" spans="3:13" ht="12.75" customHeight="1" x14ac:dyDescent="0.2">
      <c r="C62189"/>
      <c r="M62189"/>
    </row>
    <row r="62190" spans="3:13" ht="12.75" customHeight="1" x14ac:dyDescent="0.2">
      <c r="C62190"/>
      <c r="M62190"/>
    </row>
    <row r="62191" spans="3:13" ht="12.75" customHeight="1" x14ac:dyDescent="0.2">
      <c r="C62191"/>
      <c r="M62191"/>
    </row>
    <row r="62192" spans="3:13" ht="12.75" customHeight="1" x14ac:dyDescent="0.2">
      <c r="C62192"/>
      <c r="M62192"/>
    </row>
    <row r="62193" spans="3:13" ht="12.75" customHeight="1" x14ac:dyDescent="0.2">
      <c r="C62193"/>
      <c r="M62193"/>
    </row>
    <row r="62194" spans="3:13" ht="12.75" customHeight="1" x14ac:dyDescent="0.2">
      <c r="C62194"/>
      <c r="M62194"/>
    </row>
    <row r="62195" spans="3:13" ht="12.75" customHeight="1" x14ac:dyDescent="0.2">
      <c r="C62195"/>
      <c r="M62195"/>
    </row>
    <row r="62196" spans="3:13" ht="12.75" customHeight="1" x14ac:dyDescent="0.2">
      <c r="C62196"/>
      <c r="M62196"/>
    </row>
    <row r="62197" spans="3:13" ht="12.75" customHeight="1" x14ac:dyDescent="0.2">
      <c r="C62197"/>
      <c r="M62197"/>
    </row>
    <row r="62198" spans="3:13" ht="12.75" customHeight="1" x14ac:dyDescent="0.2">
      <c r="C62198"/>
      <c r="M62198"/>
    </row>
    <row r="62199" spans="3:13" ht="12.75" customHeight="1" x14ac:dyDescent="0.2">
      <c r="C62199"/>
      <c r="M62199"/>
    </row>
    <row r="62200" spans="3:13" ht="12.75" customHeight="1" x14ac:dyDescent="0.2">
      <c r="C62200"/>
      <c r="M62200"/>
    </row>
    <row r="62201" spans="3:13" ht="12.75" customHeight="1" x14ac:dyDescent="0.2">
      <c r="C62201"/>
      <c r="M62201"/>
    </row>
    <row r="62202" spans="3:13" ht="12.75" customHeight="1" x14ac:dyDescent="0.2">
      <c r="C62202"/>
      <c r="M62202"/>
    </row>
    <row r="62203" spans="3:13" ht="12.75" customHeight="1" x14ac:dyDescent="0.2">
      <c r="C62203"/>
      <c r="M62203"/>
    </row>
    <row r="62204" spans="3:13" ht="12.75" customHeight="1" x14ac:dyDescent="0.2">
      <c r="C62204"/>
      <c r="M62204"/>
    </row>
    <row r="62205" spans="3:13" ht="12.75" customHeight="1" x14ac:dyDescent="0.2">
      <c r="C62205"/>
      <c r="M62205"/>
    </row>
    <row r="62206" spans="3:13" ht="12.75" customHeight="1" x14ac:dyDescent="0.2">
      <c r="C62206"/>
      <c r="M62206"/>
    </row>
    <row r="62207" spans="3:13" ht="12.75" customHeight="1" x14ac:dyDescent="0.2">
      <c r="C62207"/>
      <c r="M62207"/>
    </row>
    <row r="62208" spans="3:13" ht="12.75" customHeight="1" x14ac:dyDescent="0.2">
      <c r="C62208"/>
      <c r="M62208"/>
    </row>
    <row r="62209" spans="3:13" ht="12.75" customHeight="1" x14ac:dyDescent="0.2">
      <c r="C62209"/>
      <c r="M62209"/>
    </row>
    <row r="62210" spans="3:13" ht="12.75" customHeight="1" x14ac:dyDescent="0.2">
      <c r="C62210"/>
      <c r="M62210"/>
    </row>
    <row r="62211" spans="3:13" ht="12.75" customHeight="1" x14ac:dyDescent="0.2">
      <c r="C62211"/>
      <c r="M62211"/>
    </row>
    <row r="62212" spans="3:13" ht="12.75" customHeight="1" x14ac:dyDescent="0.2">
      <c r="C62212"/>
      <c r="M62212"/>
    </row>
    <row r="62213" spans="3:13" ht="12.75" customHeight="1" x14ac:dyDescent="0.2">
      <c r="C62213"/>
      <c r="M62213"/>
    </row>
    <row r="62214" spans="3:13" ht="12.75" customHeight="1" x14ac:dyDescent="0.2">
      <c r="C62214"/>
      <c r="M62214"/>
    </row>
    <row r="62215" spans="3:13" ht="12.75" customHeight="1" x14ac:dyDescent="0.2">
      <c r="C62215"/>
      <c r="M62215"/>
    </row>
    <row r="62216" spans="3:13" ht="12.75" customHeight="1" x14ac:dyDescent="0.2">
      <c r="C62216"/>
      <c r="M62216"/>
    </row>
    <row r="62217" spans="3:13" ht="12.75" customHeight="1" x14ac:dyDescent="0.2">
      <c r="C62217"/>
      <c r="M62217"/>
    </row>
    <row r="62218" spans="3:13" ht="12.75" customHeight="1" x14ac:dyDescent="0.2">
      <c r="C62218"/>
      <c r="M62218"/>
    </row>
    <row r="62219" spans="3:13" ht="12.75" customHeight="1" x14ac:dyDescent="0.2">
      <c r="C62219"/>
      <c r="M62219"/>
    </row>
    <row r="62220" spans="3:13" ht="12.75" customHeight="1" x14ac:dyDescent="0.2">
      <c r="C62220"/>
      <c r="M62220"/>
    </row>
    <row r="62221" spans="3:13" ht="12.75" customHeight="1" x14ac:dyDescent="0.2">
      <c r="C62221"/>
      <c r="M62221"/>
    </row>
    <row r="62222" spans="3:13" ht="12.75" customHeight="1" x14ac:dyDescent="0.2">
      <c r="C62222"/>
      <c r="M62222"/>
    </row>
    <row r="62223" spans="3:13" ht="12.75" customHeight="1" x14ac:dyDescent="0.2">
      <c r="C62223"/>
      <c r="M62223"/>
    </row>
    <row r="62224" spans="3:13" ht="12.75" customHeight="1" x14ac:dyDescent="0.2">
      <c r="C62224"/>
      <c r="M62224"/>
    </row>
    <row r="62225" spans="3:13" ht="12.75" customHeight="1" x14ac:dyDescent="0.2">
      <c r="C62225"/>
      <c r="M62225"/>
    </row>
    <row r="62226" spans="3:13" ht="12.75" customHeight="1" x14ac:dyDescent="0.2">
      <c r="C62226"/>
      <c r="M62226"/>
    </row>
    <row r="62227" spans="3:13" ht="12.75" customHeight="1" x14ac:dyDescent="0.2">
      <c r="C62227"/>
      <c r="M62227"/>
    </row>
    <row r="62228" spans="3:13" ht="12.75" customHeight="1" x14ac:dyDescent="0.2">
      <c r="C62228"/>
      <c r="M62228"/>
    </row>
    <row r="62229" spans="3:13" ht="12.75" customHeight="1" x14ac:dyDescent="0.2">
      <c r="C62229"/>
      <c r="M62229"/>
    </row>
    <row r="62230" spans="3:13" ht="12.75" customHeight="1" x14ac:dyDescent="0.2">
      <c r="C62230"/>
      <c r="M62230"/>
    </row>
    <row r="62231" spans="3:13" ht="12.75" customHeight="1" x14ac:dyDescent="0.2">
      <c r="C62231"/>
      <c r="M62231"/>
    </row>
    <row r="62232" spans="3:13" ht="12.75" customHeight="1" x14ac:dyDescent="0.2">
      <c r="C62232"/>
      <c r="M62232"/>
    </row>
    <row r="62233" spans="3:13" ht="12.75" customHeight="1" x14ac:dyDescent="0.2">
      <c r="C62233"/>
      <c r="M62233"/>
    </row>
    <row r="62234" spans="3:13" ht="12.75" customHeight="1" x14ac:dyDescent="0.2">
      <c r="C62234"/>
      <c r="M62234"/>
    </row>
    <row r="62235" spans="3:13" ht="12.75" customHeight="1" x14ac:dyDescent="0.2">
      <c r="C62235"/>
      <c r="M62235"/>
    </row>
    <row r="62236" spans="3:13" ht="12.75" customHeight="1" x14ac:dyDescent="0.2">
      <c r="C62236"/>
      <c r="M62236"/>
    </row>
    <row r="62237" spans="3:13" ht="12.75" customHeight="1" x14ac:dyDescent="0.2">
      <c r="C62237"/>
      <c r="M62237"/>
    </row>
    <row r="62238" spans="3:13" ht="12.75" customHeight="1" x14ac:dyDescent="0.2">
      <c r="C62238"/>
      <c r="M62238"/>
    </row>
    <row r="62239" spans="3:13" ht="12.75" customHeight="1" x14ac:dyDescent="0.2">
      <c r="C62239"/>
      <c r="M62239"/>
    </row>
    <row r="62240" spans="3:13" ht="12.75" customHeight="1" x14ac:dyDescent="0.2">
      <c r="C62240"/>
      <c r="M62240"/>
    </row>
    <row r="62241" spans="3:13" ht="12.75" customHeight="1" x14ac:dyDescent="0.2">
      <c r="C62241"/>
      <c r="M62241"/>
    </row>
    <row r="62242" spans="3:13" ht="12.75" customHeight="1" x14ac:dyDescent="0.2">
      <c r="C62242"/>
      <c r="M62242"/>
    </row>
    <row r="62243" spans="3:13" ht="12.75" customHeight="1" x14ac:dyDescent="0.2">
      <c r="C62243"/>
      <c r="M62243"/>
    </row>
    <row r="62244" spans="3:13" ht="12.75" customHeight="1" x14ac:dyDescent="0.2">
      <c r="C62244"/>
      <c r="M62244"/>
    </row>
    <row r="62245" spans="3:13" ht="12.75" customHeight="1" x14ac:dyDescent="0.2">
      <c r="C62245"/>
      <c r="M62245"/>
    </row>
    <row r="62246" spans="3:13" ht="12.75" customHeight="1" x14ac:dyDescent="0.2">
      <c r="C62246"/>
      <c r="M62246"/>
    </row>
    <row r="62247" spans="3:13" ht="12.75" customHeight="1" x14ac:dyDescent="0.2">
      <c r="C62247"/>
      <c r="M62247"/>
    </row>
    <row r="62248" spans="3:13" ht="12.75" customHeight="1" x14ac:dyDescent="0.2">
      <c r="C62248"/>
      <c r="M62248"/>
    </row>
    <row r="62249" spans="3:13" ht="12.75" customHeight="1" x14ac:dyDescent="0.2">
      <c r="C62249"/>
      <c r="M62249"/>
    </row>
    <row r="62250" spans="3:13" ht="12.75" customHeight="1" x14ac:dyDescent="0.2">
      <c r="C62250"/>
      <c r="M62250"/>
    </row>
    <row r="62251" spans="3:13" ht="12.75" customHeight="1" x14ac:dyDescent="0.2">
      <c r="C62251"/>
      <c r="M62251"/>
    </row>
    <row r="62252" spans="3:13" ht="12.75" customHeight="1" x14ac:dyDescent="0.2">
      <c r="C62252"/>
      <c r="M62252"/>
    </row>
    <row r="62253" spans="3:13" ht="12.75" customHeight="1" x14ac:dyDescent="0.2">
      <c r="C62253"/>
      <c r="M62253"/>
    </row>
    <row r="62254" spans="3:13" ht="12.75" customHeight="1" x14ac:dyDescent="0.2">
      <c r="C62254"/>
      <c r="M62254"/>
    </row>
    <row r="62255" spans="3:13" ht="12.75" customHeight="1" x14ac:dyDescent="0.2">
      <c r="C62255"/>
      <c r="M62255"/>
    </row>
    <row r="62256" spans="3:13" ht="12.75" customHeight="1" x14ac:dyDescent="0.2">
      <c r="C62256"/>
      <c r="M62256"/>
    </row>
    <row r="62257" spans="3:13" ht="12.75" customHeight="1" x14ac:dyDescent="0.2">
      <c r="C62257"/>
      <c r="M62257"/>
    </row>
    <row r="62258" spans="3:13" ht="12.75" customHeight="1" x14ac:dyDescent="0.2">
      <c r="C62258"/>
      <c r="M62258"/>
    </row>
    <row r="62259" spans="3:13" ht="12.75" customHeight="1" x14ac:dyDescent="0.2">
      <c r="C62259"/>
      <c r="M62259"/>
    </row>
    <row r="62260" spans="3:13" ht="12.75" customHeight="1" x14ac:dyDescent="0.2">
      <c r="C62260"/>
      <c r="M62260"/>
    </row>
    <row r="62261" spans="3:13" ht="12.75" customHeight="1" x14ac:dyDescent="0.2">
      <c r="C62261"/>
      <c r="M62261"/>
    </row>
    <row r="62262" spans="3:13" ht="12.75" customHeight="1" x14ac:dyDescent="0.2">
      <c r="C62262"/>
      <c r="M62262"/>
    </row>
    <row r="62263" spans="3:13" ht="12.75" customHeight="1" x14ac:dyDescent="0.2">
      <c r="C62263"/>
      <c r="M62263"/>
    </row>
    <row r="62264" spans="3:13" ht="12.75" customHeight="1" x14ac:dyDescent="0.2">
      <c r="C62264"/>
      <c r="M62264"/>
    </row>
    <row r="62265" spans="3:13" ht="12.75" customHeight="1" x14ac:dyDescent="0.2">
      <c r="C62265"/>
      <c r="M62265"/>
    </row>
    <row r="62266" spans="3:13" ht="12.75" customHeight="1" x14ac:dyDescent="0.2">
      <c r="C62266"/>
      <c r="M62266"/>
    </row>
    <row r="62267" spans="3:13" ht="12.75" customHeight="1" x14ac:dyDescent="0.2">
      <c r="C62267"/>
      <c r="M62267"/>
    </row>
    <row r="62268" spans="3:13" ht="12.75" customHeight="1" x14ac:dyDescent="0.2">
      <c r="C62268"/>
      <c r="M62268"/>
    </row>
    <row r="62269" spans="3:13" ht="12.75" customHeight="1" x14ac:dyDescent="0.2">
      <c r="C62269"/>
      <c r="M62269"/>
    </row>
    <row r="62270" spans="3:13" ht="12.75" customHeight="1" x14ac:dyDescent="0.2">
      <c r="C62270"/>
      <c r="M62270"/>
    </row>
    <row r="62271" spans="3:13" ht="12.75" customHeight="1" x14ac:dyDescent="0.2">
      <c r="C62271"/>
      <c r="M62271"/>
    </row>
    <row r="62272" spans="3:13" ht="12.75" customHeight="1" x14ac:dyDescent="0.2">
      <c r="C62272"/>
      <c r="M62272"/>
    </row>
    <row r="62273" spans="3:13" ht="12.75" customHeight="1" x14ac:dyDescent="0.2">
      <c r="C62273"/>
      <c r="M62273"/>
    </row>
    <row r="62274" spans="3:13" ht="12.75" customHeight="1" x14ac:dyDescent="0.2">
      <c r="C62274"/>
      <c r="M62274"/>
    </row>
    <row r="62275" spans="3:13" ht="12.75" customHeight="1" x14ac:dyDescent="0.2">
      <c r="C62275"/>
      <c r="M62275"/>
    </row>
    <row r="62276" spans="3:13" ht="12.75" customHeight="1" x14ac:dyDescent="0.2">
      <c r="C62276"/>
      <c r="M62276"/>
    </row>
    <row r="62277" spans="3:13" ht="12.75" customHeight="1" x14ac:dyDescent="0.2">
      <c r="C62277"/>
      <c r="M62277"/>
    </row>
    <row r="62278" spans="3:13" ht="12.75" customHeight="1" x14ac:dyDescent="0.2">
      <c r="C62278"/>
      <c r="M62278"/>
    </row>
    <row r="62279" spans="3:13" ht="12.75" customHeight="1" x14ac:dyDescent="0.2">
      <c r="C62279"/>
      <c r="M62279"/>
    </row>
    <row r="62280" spans="3:13" ht="12.75" customHeight="1" x14ac:dyDescent="0.2">
      <c r="C62280"/>
      <c r="M62280"/>
    </row>
    <row r="62281" spans="3:13" ht="12.75" customHeight="1" x14ac:dyDescent="0.2">
      <c r="C62281"/>
      <c r="M62281"/>
    </row>
    <row r="62282" spans="3:13" ht="12.75" customHeight="1" x14ac:dyDescent="0.2">
      <c r="C62282"/>
      <c r="M62282"/>
    </row>
    <row r="62283" spans="3:13" ht="12.75" customHeight="1" x14ac:dyDescent="0.2">
      <c r="C62283"/>
      <c r="M62283"/>
    </row>
    <row r="62284" spans="3:13" ht="12.75" customHeight="1" x14ac:dyDescent="0.2">
      <c r="C62284"/>
      <c r="M62284"/>
    </row>
    <row r="62285" spans="3:13" ht="12.75" customHeight="1" x14ac:dyDescent="0.2">
      <c r="C62285"/>
      <c r="M62285"/>
    </row>
    <row r="62286" spans="3:13" ht="12.75" customHeight="1" x14ac:dyDescent="0.2">
      <c r="C62286"/>
      <c r="M62286"/>
    </row>
    <row r="62287" spans="3:13" ht="12.75" customHeight="1" x14ac:dyDescent="0.2">
      <c r="C62287"/>
      <c r="M62287"/>
    </row>
    <row r="62288" spans="3:13" ht="12.75" customHeight="1" x14ac:dyDescent="0.2">
      <c r="C62288"/>
      <c r="M62288"/>
    </row>
    <row r="62289" spans="3:13" ht="12.75" customHeight="1" x14ac:dyDescent="0.2">
      <c r="C62289"/>
      <c r="M62289"/>
    </row>
    <row r="62290" spans="3:13" ht="12.75" customHeight="1" x14ac:dyDescent="0.2">
      <c r="C62290"/>
      <c r="M62290"/>
    </row>
    <row r="62291" spans="3:13" ht="12.75" customHeight="1" x14ac:dyDescent="0.2">
      <c r="C62291"/>
      <c r="M62291"/>
    </row>
    <row r="62292" spans="3:13" ht="12.75" customHeight="1" x14ac:dyDescent="0.2">
      <c r="C62292"/>
      <c r="M62292"/>
    </row>
    <row r="62293" spans="3:13" ht="12.75" customHeight="1" x14ac:dyDescent="0.2">
      <c r="C62293"/>
      <c r="M62293"/>
    </row>
    <row r="62294" spans="3:13" ht="12.75" customHeight="1" x14ac:dyDescent="0.2">
      <c r="C62294"/>
      <c r="M62294"/>
    </row>
    <row r="62295" spans="3:13" ht="12.75" customHeight="1" x14ac:dyDescent="0.2">
      <c r="C62295"/>
      <c r="M62295"/>
    </row>
    <row r="62296" spans="3:13" ht="12.75" customHeight="1" x14ac:dyDescent="0.2">
      <c r="C62296"/>
      <c r="M62296"/>
    </row>
    <row r="62297" spans="3:13" ht="12.75" customHeight="1" x14ac:dyDescent="0.2">
      <c r="C62297"/>
      <c r="M62297"/>
    </row>
    <row r="62298" spans="3:13" ht="12.75" customHeight="1" x14ac:dyDescent="0.2">
      <c r="C62298"/>
      <c r="M62298"/>
    </row>
    <row r="62299" spans="3:13" ht="12.75" customHeight="1" x14ac:dyDescent="0.2">
      <c r="C62299"/>
      <c r="M62299"/>
    </row>
    <row r="62300" spans="3:13" ht="12.75" customHeight="1" x14ac:dyDescent="0.2">
      <c r="C62300"/>
      <c r="M62300"/>
    </row>
    <row r="62301" spans="3:13" ht="12.75" customHeight="1" x14ac:dyDescent="0.2">
      <c r="C62301"/>
      <c r="M62301"/>
    </row>
    <row r="62302" spans="3:13" ht="12.75" customHeight="1" x14ac:dyDescent="0.2">
      <c r="C62302"/>
      <c r="M62302"/>
    </row>
    <row r="62303" spans="3:13" ht="12.75" customHeight="1" x14ac:dyDescent="0.2">
      <c r="C62303"/>
      <c r="M62303"/>
    </row>
    <row r="62304" spans="3:13" ht="12.75" customHeight="1" x14ac:dyDescent="0.2">
      <c r="C62304"/>
      <c r="M62304"/>
    </row>
    <row r="62305" spans="3:13" ht="12.75" customHeight="1" x14ac:dyDescent="0.2">
      <c r="C62305"/>
      <c r="M62305"/>
    </row>
    <row r="62306" spans="3:13" ht="12.75" customHeight="1" x14ac:dyDescent="0.2">
      <c r="C62306"/>
      <c r="M62306"/>
    </row>
    <row r="62307" spans="3:13" ht="12.75" customHeight="1" x14ac:dyDescent="0.2">
      <c r="C62307"/>
      <c r="M62307"/>
    </row>
    <row r="62308" spans="3:13" ht="12.75" customHeight="1" x14ac:dyDescent="0.2">
      <c r="C62308"/>
      <c r="M62308"/>
    </row>
    <row r="62309" spans="3:13" ht="12.75" customHeight="1" x14ac:dyDescent="0.2">
      <c r="C62309"/>
      <c r="M62309"/>
    </row>
    <row r="62310" spans="3:13" ht="12.75" customHeight="1" x14ac:dyDescent="0.2">
      <c r="C62310"/>
      <c r="M62310"/>
    </row>
    <row r="62311" spans="3:13" ht="12.75" customHeight="1" x14ac:dyDescent="0.2">
      <c r="C62311"/>
      <c r="M62311"/>
    </row>
    <row r="62312" spans="3:13" ht="12.75" customHeight="1" x14ac:dyDescent="0.2">
      <c r="C62312"/>
      <c r="M62312"/>
    </row>
    <row r="62313" spans="3:13" ht="12.75" customHeight="1" x14ac:dyDescent="0.2">
      <c r="C62313"/>
      <c r="M62313"/>
    </row>
    <row r="62314" spans="3:13" ht="12.75" customHeight="1" x14ac:dyDescent="0.2">
      <c r="C62314"/>
      <c r="M62314"/>
    </row>
    <row r="62315" spans="3:13" ht="12.75" customHeight="1" x14ac:dyDescent="0.2">
      <c r="C62315"/>
      <c r="M62315"/>
    </row>
    <row r="62316" spans="3:13" ht="12.75" customHeight="1" x14ac:dyDescent="0.2">
      <c r="C62316"/>
      <c r="M62316"/>
    </row>
    <row r="62317" spans="3:13" ht="12.75" customHeight="1" x14ac:dyDescent="0.2">
      <c r="C62317"/>
      <c r="M62317"/>
    </row>
    <row r="62318" spans="3:13" ht="12.75" customHeight="1" x14ac:dyDescent="0.2">
      <c r="C62318"/>
      <c r="M62318"/>
    </row>
    <row r="62319" spans="3:13" ht="12.75" customHeight="1" x14ac:dyDescent="0.2">
      <c r="C62319"/>
      <c r="M62319"/>
    </row>
    <row r="62320" spans="3:13" ht="12.75" customHeight="1" x14ac:dyDescent="0.2">
      <c r="C62320"/>
      <c r="M62320"/>
    </row>
    <row r="62321" spans="3:13" ht="12.75" customHeight="1" x14ac:dyDescent="0.2">
      <c r="C62321"/>
      <c r="M62321"/>
    </row>
    <row r="62322" spans="3:13" ht="12.75" customHeight="1" x14ac:dyDescent="0.2">
      <c r="C62322"/>
      <c r="M62322"/>
    </row>
    <row r="62323" spans="3:13" ht="12.75" customHeight="1" x14ac:dyDescent="0.2">
      <c r="C62323"/>
      <c r="M62323"/>
    </row>
    <row r="62324" spans="3:13" ht="12.75" customHeight="1" x14ac:dyDescent="0.2">
      <c r="C62324"/>
      <c r="M62324"/>
    </row>
    <row r="62325" spans="3:13" ht="12.75" customHeight="1" x14ac:dyDescent="0.2">
      <c r="C62325"/>
      <c r="M62325"/>
    </row>
    <row r="62326" spans="3:13" ht="12.75" customHeight="1" x14ac:dyDescent="0.2">
      <c r="C62326"/>
      <c r="M62326"/>
    </row>
    <row r="62327" spans="3:13" ht="12.75" customHeight="1" x14ac:dyDescent="0.2">
      <c r="C62327"/>
      <c r="M62327"/>
    </row>
    <row r="62328" spans="3:13" ht="12.75" customHeight="1" x14ac:dyDescent="0.2">
      <c r="C62328"/>
      <c r="M62328"/>
    </row>
    <row r="62329" spans="3:13" ht="12.75" customHeight="1" x14ac:dyDescent="0.2">
      <c r="C62329"/>
      <c r="M62329"/>
    </row>
    <row r="62330" spans="3:13" ht="12.75" customHeight="1" x14ac:dyDescent="0.2">
      <c r="C62330"/>
      <c r="M62330"/>
    </row>
    <row r="62331" spans="3:13" ht="12.75" customHeight="1" x14ac:dyDescent="0.2">
      <c r="C62331"/>
      <c r="M62331"/>
    </row>
    <row r="62332" spans="3:13" ht="12.75" customHeight="1" x14ac:dyDescent="0.2">
      <c r="C62332"/>
      <c r="M62332"/>
    </row>
    <row r="62333" spans="3:13" ht="12.75" customHeight="1" x14ac:dyDescent="0.2">
      <c r="C62333"/>
      <c r="M62333"/>
    </row>
    <row r="62334" spans="3:13" ht="12.75" customHeight="1" x14ac:dyDescent="0.2">
      <c r="C62334"/>
      <c r="M62334"/>
    </row>
    <row r="62335" spans="3:13" ht="12.75" customHeight="1" x14ac:dyDescent="0.2">
      <c r="C62335"/>
      <c r="M62335"/>
    </row>
    <row r="62336" spans="3:13" ht="12.75" customHeight="1" x14ac:dyDescent="0.2">
      <c r="C62336"/>
      <c r="M62336"/>
    </row>
    <row r="62337" spans="3:13" ht="12.75" customHeight="1" x14ac:dyDescent="0.2">
      <c r="C62337"/>
      <c r="M62337"/>
    </row>
    <row r="62338" spans="3:13" ht="12.75" customHeight="1" x14ac:dyDescent="0.2">
      <c r="C62338"/>
      <c r="M62338"/>
    </row>
    <row r="62339" spans="3:13" ht="12.75" customHeight="1" x14ac:dyDescent="0.2">
      <c r="C62339"/>
      <c r="M62339"/>
    </row>
    <row r="62340" spans="3:13" ht="12.75" customHeight="1" x14ac:dyDescent="0.2">
      <c r="C62340"/>
      <c r="M62340"/>
    </row>
    <row r="62341" spans="3:13" ht="12.75" customHeight="1" x14ac:dyDescent="0.2">
      <c r="C62341"/>
      <c r="M62341"/>
    </row>
    <row r="62342" spans="3:13" ht="12.75" customHeight="1" x14ac:dyDescent="0.2">
      <c r="C62342"/>
      <c r="M62342"/>
    </row>
    <row r="62343" spans="3:13" ht="12.75" customHeight="1" x14ac:dyDescent="0.2">
      <c r="C62343"/>
      <c r="M62343"/>
    </row>
    <row r="62344" spans="3:13" ht="12.75" customHeight="1" x14ac:dyDescent="0.2">
      <c r="C62344"/>
      <c r="M62344"/>
    </row>
    <row r="62345" spans="3:13" ht="12.75" customHeight="1" x14ac:dyDescent="0.2">
      <c r="C62345"/>
      <c r="M62345"/>
    </row>
    <row r="62346" spans="3:13" ht="12.75" customHeight="1" x14ac:dyDescent="0.2">
      <c r="C62346"/>
      <c r="M62346"/>
    </row>
    <row r="62347" spans="3:13" ht="12.75" customHeight="1" x14ac:dyDescent="0.2">
      <c r="C62347"/>
      <c r="M62347"/>
    </row>
    <row r="62348" spans="3:13" ht="12.75" customHeight="1" x14ac:dyDescent="0.2">
      <c r="C62348"/>
      <c r="M62348"/>
    </row>
    <row r="62349" spans="3:13" ht="12.75" customHeight="1" x14ac:dyDescent="0.2">
      <c r="C62349"/>
      <c r="M62349"/>
    </row>
    <row r="62350" spans="3:13" ht="12.75" customHeight="1" x14ac:dyDescent="0.2">
      <c r="C62350"/>
      <c r="M62350"/>
    </row>
    <row r="62351" spans="3:13" ht="12.75" customHeight="1" x14ac:dyDescent="0.2">
      <c r="C62351"/>
      <c r="M62351"/>
    </row>
    <row r="62352" spans="3:13" ht="12.75" customHeight="1" x14ac:dyDescent="0.2">
      <c r="C62352"/>
      <c r="M62352"/>
    </row>
    <row r="62353" spans="3:13" ht="12.75" customHeight="1" x14ac:dyDescent="0.2">
      <c r="C62353"/>
      <c r="M62353"/>
    </row>
    <row r="62354" spans="3:13" ht="12.75" customHeight="1" x14ac:dyDescent="0.2">
      <c r="C62354"/>
      <c r="M62354"/>
    </row>
    <row r="62355" spans="3:13" ht="12.75" customHeight="1" x14ac:dyDescent="0.2">
      <c r="C62355"/>
      <c r="M62355"/>
    </row>
    <row r="62356" spans="3:13" ht="12.75" customHeight="1" x14ac:dyDescent="0.2">
      <c r="C62356"/>
      <c r="M62356"/>
    </row>
    <row r="62357" spans="3:13" ht="12.75" customHeight="1" x14ac:dyDescent="0.2">
      <c r="C62357"/>
      <c r="M62357"/>
    </row>
    <row r="62358" spans="3:13" ht="12.75" customHeight="1" x14ac:dyDescent="0.2">
      <c r="C62358"/>
      <c r="M62358"/>
    </row>
    <row r="62359" spans="3:13" ht="12.75" customHeight="1" x14ac:dyDescent="0.2">
      <c r="C62359"/>
      <c r="M62359"/>
    </row>
    <row r="62360" spans="3:13" ht="12.75" customHeight="1" x14ac:dyDescent="0.2">
      <c r="C62360"/>
      <c r="M62360"/>
    </row>
    <row r="62361" spans="3:13" ht="12.75" customHeight="1" x14ac:dyDescent="0.2">
      <c r="C62361"/>
      <c r="M62361"/>
    </row>
    <row r="62362" spans="3:13" ht="12.75" customHeight="1" x14ac:dyDescent="0.2">
      <c r="C62362"/>
      <c r="M62362"/>
    </row>
    <row r="62363" spans="3:13" ht="12.75" customHeight="1" x14ac:dyDescent="0.2">
      <c r="C62363"/>
      <c r="M62363"/>
    </row>
    <row r="62364" spans="3:13" ht="12.75" customHeight="1" x14ac:dyDescent="0.2">
      <c r="C62364"/>
      <c r="M62364"/>
    </row>
    <row r="62365" spans="3:13" ht="12.75" customHeight="1" x14ac:dyDescent="0.2">
      <c r="C62365"/>
      <c r="M62365"/>
    </row>
    <row r="62366" spans="3:13" ht="12.75" customHeight="1" x14ac:dyDescent="0.2">
      <c r="C62366"/>
      <c r="M62366"/>
    </row>
    <row r="62367" spans="3:13" ht="12.75" customHeight="1" x14ac:dyDescent="0.2">
      <c r="C62367"/>
      <c r="M62367"/>
    </row>
    <row r="62368" spans="3:13" ht="12.75" customHeight="1" x14ac:dyDescent="0.2">
      <c r="C62368"/>
      <c r="M62368"/>
    </row>
    <row r="62369" spans="3:13" ht="12.75" customHeight="1" x14ac:dyDescent="0.2">
      <c r="C62369"/>
      <c r="M62369"/>
    </row>
    <row r="62370" spans="3:13" ht="12.75" customHeight="1" x14ac:dyDescent="0.2">
      <c r="C62370"/>
      <c r="M62370"/>
    </row>
    <row r="62371" spans="3:13" ht="12.75" customHeight="1" x14ac:dyDescent="0.2">
      <c r="C62371"/>
      <c r="M62371"/>
    </row>
    <row r="62372" spans="3:13" ht="12.75" customHeight="1" x14ac:dyDescent="0.2">
      <c r="C62372"/>
      <c r="M62372"/>
    </row>
    <row r="62373" spans="3:13" ht="12.75" customHeight="1" x14ac:dyDescent="0.2">
      <c r="C62373"/>
      <c r="M62373"/>
    </row>
    <row r="62374" spans="3:13" ht="12.75" customHeight="1" x14ac:dyDescent="0.2">
      <c r="C62374"/>
      <c r="M62374"/>
    </row>
    <row r="62375" spans="3:13" ht="12.75" customHeight="1" x14ac:dyDescent="0.2">
      <c r="C62375"/>
      <c r="M62375"/>
    </row>
    <row r="62376" spans="3:13" ht="12.75" customHeight="1" x14ac:dyDescent="0.2">
      <c r="C62376"/>
      <c r="M62376"/>
    </row>
    <row r="62377" spans="3:13" ht="12.75" customHeight="1" x14ac:dyDescent="0.2">
      <c r="C62377"/>
      <c r="M62377"/>
    </row>
    <row r="62378" spans="3:13" ht="12.75" customHeight="1" x14ac:dyDescent="0.2">
      <c r="C62378"/>
      <c r="M62378"/>
    </row>
    <row r="62379" spans="3:13" ht="12.75" customHeight="1" x14ac:dyDescent="0.2">
      <c r="C62379"/>
      <c r="M62379"/>
    </row>
    <row r="62380" spans="3:13" ht="12.75" customHeight="1" x14ac:dyDescent="0.2">
      <c r="C62380"/>
      <c r="M62380"/>
    </row>
    <row r="62381" spans="3:13" ht="12.75" customHeight="1" x14ac:dyDescent="0.2">
      <c r="C62381"/>
      <c r="M62381"/>
    </row>
    <row r="62382" spans="3:13" ht="12.75" customHeight="1" x14ac:dyDescent="0.2">
      <c r="C62382"/>
      <c r="M62382"/>
    </row>
    <row r="62383" spans="3:13" ht="12.75" customHeight="1" x14ac:dyDescent="0.2">
      <c r="C62383"/>
      <c r="M62383"/>
    </row>
    <row r="62384" spans="3:13" ht="12.75" customHeight="1" x14ac:dyDescent="0.2">
      <c r="C62384"/>
      <c r="M62384"/>
    </row>
    <row r="62385" spans="3:13" ht="12.75" customHeight="1" x14ac:dyDescent="0.2">
      <c r="C62385"/>
      <c r="M62385"/>
    </row>
    <row r="62386" spans="3:13" ht="12.75" customHeight="1" x14ac:dyDescent="0.2">
      <c r="C62386"/>
      <c r="M62386"/>
    </row>
    <row r="62387" spans="3:13" ht="12.75" customHeight="1" x14ac:dyDescent="0.2">
      <c r="C62387"/>
      <c r="M62387"/>
    </row>
    <row r="62388" spans="3:13" ht="12.75" customHeight="1" x14ac:dyDescent="0.2">
      <c r="C62388"/>
      <c r="M62388"/>
    </row>
    <row r="62389" spans="3:13" ht="12.75" customHeight="1" x14ac:dyDescent="0.2">
      <c r="C62389"/>
      <c r="M62389"/>
    </row>
    <row r="62390" spans="3:13" ht="12.75" customHeight="1" x14ac:dyDescent="0.2">
      <c r="C62390"/>
      <c r="M62390"/>
    </row>
    <row r="62391" spans="3:13" ht="12.75" customHeight="1" x14ac:dyDescent="0.2">
      <c r="C62391"/>
      <c r="M62391"/>
    </row>
    <row r="62392" spans="3:13" ht="12.75" customHeight="1" x14ac:dyDescent="0.2">
      <c r="C62392"/>
      <c r="M62392"/>
    </row>
    <row r="62393" spans="3:13" ht="12.75" customHeight="1" x14ac:dyDescent="0.2">
      <c r="C62393"/>
      <c r="M62393"/>
    </row>
    <row r="62394" spans="3:13" ht="12.75" customHeight="1" x14ac:dyDescent="0.2">
      <c r="C62394"/>
      <c r="M62394"/>
    </row>
    <row r="62395" spans="3:13" ht="12.75" customHeight="1" x14ac:dyDescent="0.2">
      <c r="C62395"/>
      <c r="M62395"/>
    </row>
    <row r="62396" spans="3:13" ht="12.75" customHeight="1" x14ac:dyDescent="0.2">
      <c r="C62396"/>
      <c r="M62396"/>
    </row>
    <row r="62397" spans="3:13" ht="12.75" customHeight="1" x14ac:dyDescent="0.2">
      <c r="C62397"/>
      <c r="M62397"/>
    </row>
    <row r="62398" spans="3:13" ht="12.75" customHeight="1" x14ac:dyDescent="0.2">
      <c r="C62398"/>
      <c r="M62398"/>
    </row>
    <row r="62399" spans="3:13" ht="12.75" customHeight="1" x14ac:dyDescent="0.2">
      <c r="C62399"/>
      <c r="M62399"/>
    </row>
    <row r="62400" spans="3:13" ht="12.75" customHeight="1" x14ac:dyDescent="0.2">
      <c r="C62400"/>
      <c r="M62400"/>
    </row>
    <row r="62401" spans="3:13" ht="12.75" customHeight="1" x14ac:dyDescent="0.2">
      <c r="C62401"/>
      <c r="M62401"/>
    </row>
    <row r="62402" spans="3:13" ht="12.75" customHeight="1" x14ac:dyDescent="0.2">
      <c r="C62402"/>
      <c r="M62402"/>
    </row>
    <row r="62403" spans="3:13" ht="12.75" customHeight="1" x14ac:dyDescent="0.2">
      <c r="C62403"/>
      <c r="M62403"/>
    </row>
    <row r="62404" spans="3:13" ht="12.75" customHeight="1" x14ac:dyDescent="0.2">
      <c r="C62404"/>
      <c r="M62404"/>
    </row>
    <row r="62405" spans="3:13" ht="12.75" customHeight="1" x14ac:dyDescent="0.2">
      <c r="C62405"/>
      <c r="M62405"/>
    </row>
    <row r="62406" spans="3:13" ht="12.75" customHeight="1" x14ac:dyDescent="0.2">
      <c r="C62406"/>
      <c r="M62406"/>
    </row>
    <row r="62407" spans="3:13" ht="12.75" customHeight="1" x14ac:dyDescent="0.2">
      <c r="C62407"/>
      <c r="M62407"/>
    </row>
    <row r="62408" spans="3:13" ht="12.75" customHeight="1" x14ac:dyDescent="0.2">
      <c r="C62408"/>
      <c r="M62408"/>
    </row>
    <row r="62409" spans="3:13" ht="12.75" customHeight="1" x14ac:dyDescent="0.2">
      <c r="C62409"/>
      <c r="M62409"/>
    </row>
    <row r="62410" spans="3:13" ht="12.75" customHeight="1" x14ac:dyDescent="0.2">
      <c r="C62410"/>
      <c r="M62410"/>
    </row>
    <row r="62411" spans="3:13" ht="12.75" customHeight="1" x14ac:dyDescent="0.2">
      <c r="C62411"/>
      <c r="M62411"/>
    </row>
    <row r="62412" spans="3:13" ht="12.75" customHeight="1" x14ac:dyDescent="0.2">
      <c r="C62412"/>
      <c r="M62412"/>
    </row>
    <row r="62413" spans="3:13" ht="12.75" customHeight="1" x14ac:dyDescent="0.2">
      <c r="C62413"/>
      <c r="M62413"/>
    </row>
    <row r="62414" spans="3:13" ht="12.75" customHeight="1" x14ac:dyDescent="0.2">
      <c r="C62414"/>
      <c r="M62414"/>
    </row>
    <row r="62415" spans="3:13" ht="12.75" customHeight="1" x14ac:dyDescent="0.2">
      <c r="C62415"/>
      <c r="M62415"/>
    </row>
    <row r="62416" spans="3:13" ht="12.75" customHeight="1" x14ac:dyDescent="0.2">
      <c r="C62416"/>
      <c r="M62416"/>
    </row>
    <row r="62417" spans="3:13" ht="12.75" customHeight="1" x14ac:dyDescent="0.2">
      <c r="C62417"/>
      <c r="M62417"/>
    </row>
    <row r="62418" spans="3:13" ht="12.75" customHeight="1" x14ac:dyDescent="0.2">
      <c r="C62418"/>
      <c r="M62418"/>
    </row>
    <row r="62419" spans="3:13" ht="12.75" customHeight="1" x14ac:dyDescent="0.2">
      <c r="C62419"/>
      <c r="M62419"/>
    </row>
    <row r="62420" spans="3:13" ht="12.75" customHeight="1" x14ac:dyDescent="0.2">
      <c r="C62420"/>
      <c r="M62420"/>
    </row>
    <row r="62421" spans="3:13" ht="12.75" customHeight="1" x14ac:dyDescent="0.2">
      <c r="C62421"/>
      <c r="M62421"/>
    </row>
    <row r="62422" spans="3:13" ht="12.75" customHeight="1" x14ac:dyDescent="0.2">
      <c r="C62422"/>
      <c r="M62422"/>
    </row>
    <row r="62423" spans="3:13" ht="12.75" customHeight="1" x14ac:dyDescent="0.2">
      <c r="C62423"/>
      <c r="M62423"/>
    </row>
    <row r="62424" spans="3:13" ht="12.75" customHeight="1" x14ac:dyDescent="0.2">
      <c r="C62424"/>
      <c r="M62424"/>
    </row>
    <row r="62425" spans="3:13" ht="12.75" customHeight="1" x14ac:dyDescent="0.2">
      <c r="C62425"/>
      <c r="M62425"/>
    </row>
    <row r="62426" spans="3:13" ht="12.75" customHeight="1" x14ac:dyDescent="0.2">
      <c r="C62426"/>
      <c r="M62426"/>
    </row>
    <row r="62427" spans="3:13" ht="12.75" customHeight="1" x14ac:dyDescent="0.2">
      <c r="C62427"/>
      <c r="M62427"/>
    </row>
    <row r="62428" spans="3:13" ht="12.75" customHeight="1" x14ac:dyDescent="0.2">
      <c r="C62428"/>
      <c r="M62428"/>
    </row>
    <row r="62429" spans="3:13" ht="12.75" customHeight="1" x14ac:dyDescent="0.2">
      <c r="C62429"/>
      <c r="M62429"/>
    </row>
    <row r="62430" spans="3:13" ht="12.75" customHeight="1" x14ac:dyDescent="0.2">
      <c r="C62430"/>
      <c r="M62430"/>
    </row>
    <row r="62431" spans="3:13" ht="12.75" customHeight="1" x14ac:dyDescent="0.2">
      <c r="C62431"/>
      <c r="M62431"/>
    </row>
    <row r="62432" spans="3:13" ht="12.75" customHeight="1" x14ac:dyDescent="0.2">
      <c r="C62432"/>
      <c r="M62432"/>
    </row>
    <row r="62433" spans="3:13" ht="12.75" customHeight="1" x14ac:dyDescent="0.2">
      <c r="C62433"/>
      <c r="M62433"/>
    </row>
    <row r="62434" spans="3:13" ht="12.75" customHeight="1" x14ac:dyDescent="0.2">
      <c r="C62434"/>
      <c r="M62434"/>
    </row>
    <row r="62435" spans="3:13" ht="12.75" customHeight="1" x14ac:dyDescent="0.2">
      <c r="C62435"/>
      <c r="M62435"/>
    </row>
    <row r="62436" spans="3:13" ht="12.75" customHeight="1" x14ac:dyDescent="0.2">
      <c r="C62436"/>
      <c r="M62436"/>
    </row>
    <row r="62437" spans="3:13" ht="12.75" customHeight="1" x14ac:dyDescent="0.2">
      <c r="C62437"/>
      <c r="M62437"/>
    </row>
    <row r="62438" spans="3:13" ht="12.75" customHeight="1" x14ac:dyDescent="0.2">
      <c r="C62438"/>
      <c r="M62438"/>
    </row>
    <row r="62439" spans="3:13" ht="12.75" customHeight="1" x14ac:dyDescent="0.2">
      <c r="C62439"/>
      <c r="M62439"/>
    </row>
    <row r="62440" spans="3:13" ht="12.75" customHeight="1" x14ac:dyDescent="0.2">
      <c r="C62440"/>
      <c r="M62440"/>
    </row>
    <row r="62441" spans="3:13" ht="12.75" customHeight="1" x14ac:dyDescent="0.2">
      <c r="C62441"/>
      <c r="M62441"/>
    </row>
    <row r="62442" spans="3:13" ht="12.75" customHeight="1" x14ac:dyDescent="0.2">
      <c r="C62442"/>
      <c r="M62442"/>
    </row>
    <row r="62443" spans="3:13" ht="12.75" customHeight="1" x14ac:dyDescent="0.2">
      <c r="C62443"/>
      <c r="M62443"/>
    </row>
    <row r="62444" spans="3:13" ht="12.75" customHeight="1" x14ac:dyDescent="0.2">
      <c r="C62444"/>
      <c r="M62444"/>
    </row>
    <row r="62445" spans="3:13" ht="12.75" customHeight="1" x14ac:dyDescent="0.2">
      <c r="C62445"/>
      <c r="M62445"/>
    </row>
    <row r="62446" spans="3:13" ht="12.75" customHeight="1" x14ac:dyDescent="0.2">
      <c r="C62446"/>
      <c r="M62446"/>
    </row>
    <row r="62447" spans="3:13" ht="12.75" customHeight="1" x14ac:dyDescent="0.2">
      <c r="C62447"/>
      <c r="M62447"/>
    </row>
    <row r="62448" spans="3:13" ht="12.75" customHeight="1" x14ac:dyDescent="0.2">
      <c r="C62448"/>
      <c r="M62448"/>
    </row>
    <row r="62449" spans="3:13" ht="12.75" customHeight="1" x14ac:dyDescent="0.2">
      <c r="C62449"/>
      <c r="M62449"/>
    </row>
    <row r="62450" spans="3:13" ht="12.75" customHeight="1" x14ac:dyDescent="0.2">
      <c r="C62450"/>
      <c r="M62450"/>
    </row>
    <row r="62451" spans="3:13" ht="12.75" customHeight="1" x14ac:dyDescent="0.2">
      <c r="C62451"/>
      <c r="M62451"/>
    </row>
    <row r="62452" spans="3:13" ht="12.75" customHeight="1" x14ac:dyDescent="0.2">
      <c r="C62452"/>
      <c r="M62452"/>
    </row>
    <row r="62453" spans="3:13" ht="12.75" customHeight="1" x14ac:dyDescent="0.2">
      <c r="C62453"/>
      <c r="M62453"/>
    </row>
    <row r="62454" spans="3:13" ht="12.75" customHeight="1" x14ac:dyDescent="0.2">
      <c r="C62454"/>
      <c r="M62454"/>
    </row>
    <row r="62455" spans="3:13" ht="12.75" customHeight="1" x14ac:dyDescent="0.2">
      <c r="C62455"/>
      <c r="M62455"/>
    </row>
    <row r="62456" spans="3:13" ht="12.75" customHeight="1" x14ac:dyDescent="0.2">
      <c r="C62456"/>
      <c r="M62456"/>
    </row>
    <row r="62457" spans="3:13" ht="12.75" customHeight="1" x14ac:dyDescent="0.2">
      <c r="C62457"/>
      <c r="M62457"/>
    </row>
    <row r="62458" spans="3:13" ht="12.75" customHeight="1" x14ac:dyDescent="0.2">
      <c r="C62458"/>
      <c r="M62458"/>
    </row>
    <row r="62459" spans="3:13" ht="12.75" customHeight="1" x14ac:dyDescent="0.2">
      <c r="C62459"/>
      <c r="M62459"/>
    </row>
    <row r="62460" spans="3:13" ht="12.75" customHeight="1" x14ac:dyDescent="0.2">
      <c r="C62460"/>
      <c r="M62460"/>
    </row>
    <row r="62461" spans="3:13" ht="12.75" customHeight="1" x14ac:dyDescent="0.2">
      <c r="C62461"/>
      <c r="M62461"/>
    </row>
    <row r="62462" spans="3:13" ht="12.75" customHeight="1" x14ac:dyDescent="0.2">
      <c r="C62462"/>
      <c r="M62462"/>
    </row>
    <row r="62463" spans="3:13" ht="12.75" customHeight="1" x14ac:dyDescent="0.2">
      <c r="C62463"/>
      <c r="M62463"/>
    </row>
    <row r="62464" spans="3:13" ht="12.75" customHeight="1" x14ac:dyDescent="0.2">
      <c r="C62464"/>
      <c r="M62464"/>
    </row>
    <row r="62465" spans="3:13" ht="12.75" customHeight="1" x14ac:dyDescent="0.2">
      <c r="C62465"/>
      <c r="M62465"/>
    </row>
    <row r="62466" spans="3:13" ht="12.75" customHeight="1" x14ac:dyDescent="0.2">
      <c r="C62466"/>
      <c r="M62466"/>
    </row>
    <row r="62467" spans="3:13" ht="12.75" customHeight="1" x14ac:dyDescent="0.2">
      <c r="C62467"/>
      <c r="M62467"/>
    </row>
    <row r="62468" spans="3:13" ht="12.75" customHeight="1" x14ac:dyDescent="0.2">
      <c r="C62468"/>
      <c r="M62468"/>
    </row>
    <row r="62469" spans="3:13" ht="12.75" customHeight="1" x14ac:dyDescent="0.2">
      <c r="C62469"/>
      <c r="M62469"/>
    </row>
    <row r="62470" spans="3:13" ht="12.75" customHeight="1" x14ac:dyDescent="0.2">
      <c r="C62470"/>
      <c r="M62470"/>
    </row>
    <row r="62471" spans="3:13" ht="12.75" customHeight="1" x14ac:dyDescent="0.2">
      <c r="C62471"/>
      <c r="M62471"/>
    </row>
    <row r="62472" spans="3:13" ht="12.75" customHeight="1" x14ac:dyDescent="0.2">
      <c r="C62472"/>
      <c r="M62472"/>
    </row>
    <row r="62473" spans="3:13" ht="12.75" customHeight="1" x14ac:dyDescent="0.2">
      <c r="C62473"/>
      <c r="M62473"/>
    </row>
    <row r="62474" spans="3:13" ht="12.75" customHeight="1" x14ac:dyDescent="0.2">
      <c r="C62474"/>
      <c r="M62474"/>
    </row>
    <row r="62475" spans="3:13" ht="12.75" customHeight="1" x14ac:dyDescent="0.2">
      <c r="C62475"/>
      <c r="M62475"/>
    </row>
    <row r="62476" spans="3:13" ht="12.75" customHeight="1" x14ac:dyDescent="0.2">
      <c r="C62476"/>
      <c r="M62476"/>
    </row>
    <row r="62477" spans="3:13" ht="12.75" customHeight="1" x14ac:dyDescent="0.2">
      <c r="C62477"/>
      <c r="M62477"/>
    </row>
    <row r="62478" spans="3:13" ht="12.75" customHeight="1" x14ac:dyDescent="0.2">
      <c r="C62478"/>
      <c r="M62478"/>
    </row>
    <row r="62479" spans="3:13" ht="12.75" customHeight="1" x14ac:dyDescent="0.2">
      <c r="C62479"/>
      <c r="M62479"/>
    </row>
    <row r="62480" spans="3:13" ht="12.75" customHeight="1" x14ac:dyDescent="0.2">
      <c r="C62480"/>
      <c r="M62480"/>
    </row>
    <row r="62481" spans="3:13" ht="12.75" customHeight="1" x14ac:dyDescent="0.2">
      <c r="C62481"/>
      <c r="M62481"/>
    </row>
    <row r="62482" spans="3:13" ht="12.75" customHeight="1" x14ac:dyDescent="0.2">
      <c r="C62482"/>
      <c r="M62482"/>
    </row>
    <row r="62483" spans="3:13" ht="12.75" customHeight="1" x14ac:dyDescent="0.2">
      <c r="C62483"/>
      <c r="M62483"/>
    </row>
    <row r="62484" spans="3:13" ht="12.75" customHeight="1" x14ac:dyDescent="0.2">
      <c r="C62484"/>
      <c r="M62484"/>
    </row>
    <row r="62485" spans="3:13" ht="12.75" customHeight="1" x14ac:dyDescent="0.2">
      <c r="C62485"/>
      <c r="M62485"/>
    </row>
    <row r="62486" spans="3:13" ht="12.75" customHeight="1" x14ac:dyDescent="0.2">
      <c r="C62486"/>
      <c r="M62486"/>
    </row>
    <row r="62487" spans="3:13" ht="12.75" customHeight="1" x14ac:dyDescent="0.2">
      <c r="C62487"/>
      <c r="M62487"/>
    </row>
    <row r="62488" spans="3:13" ht="12.75" customHeight="1" x14ac:dyDescent="0.2">
      <c r="C62488"/>
      <c r="M62488"/>
    </row>
    <row r="62489" spans="3:13" ht="12.75" customHeight="1" x14ac:dyDescent="0.2">
      <c r="C62489"/>
      <c r="M62489"/>
    </row>
    <row r="62490" spans="3:13" ht="12.75" customHeight="1" x14ac:dyDescent="0.2">
      <c r="C62490"/>
      <c r="M62490"/>
    </row>
    <row r="62491" spans="3:13" ht="12.75" customHeight="1" x14ac:dyDescent="0.2">
      <c r="C62491"/>
      <c r="M62491"/>
    </row>
    <row r="62492" spans="3:13" ht="12.75" customHeight="1" x14ac:dyDescent="0.2">
      <c r="C62492"/>
      <c r="M62492"/>
    </row>
    <row r="62493" spans="3:13" ht="12.75" customHeight="1" x14ac:dyDescent="0.2">
      <c r="C62493"/>
      <c r="M62493"/>
    </row>
    <row r="62494" spans="3:13" ht="12.75" customHeight="1" x14ac:dyDescent="0.2">
      <c r="C62494"/>
      <c r="M62494"/>
    </row>
    <row r="62495" spans="3:13" ht="12.75" customHeight="1" x14ac:dyDescent="0.2">
      <c r="C62495"/>
      <c r="M62495"/>
    </row>
    <row r="62496" spans="3:13" ht="12.75" customHeight="1" x14ac:dyDescent="0.2">
      <c r="C62496"/>
      <c r="M62496"/>
    </row>
    <row r="62497" spans="3:13" ht="12.75" customHeight="1" x14ac:dyDescent="0.2">
      <c r="C62497"/>
      <c r="M62497"/>
    </row>
    <row r="62498" spans="3:13" ht="12.75" customHeight="1" x14ac:dyDescent="0.2">
      <c r="C62498"/>
      <c r="M62498"/>
    </row>
    <row r="62499" spans="3:13" ht="12.75" customHeight="1" x14ac:dyDescent="0.2">
      <c r="C62499"/>
      <c r="M62499"/>
    </row>
    <row r="62500" spans="3:13" ht="12.75" customHeight="1" x14ac:dyDescent="0.2">
      <c r="C62500"/>
      <c r="M62500"/>
    </row>
    <row r="62501" spans="3:13" ht="12.75" customHeight="1" x14ac:dyDescent="0.2">
      <c r="C62501"/>
      <c r="M62501"/>
    </row>
    <row r="62502" spans="3:13" ht="12.75" customHeight="1" x14ac:dyDescent="0.2">
      <c r="C62502"/>
      <c r="M62502"/>
    </row>
    <row r="62503" spans="3:13" ht="12.75" customHeight="1" x14ac:dyDescent="0.2">
      <c r="C62503"/>
      <c r="M62503"/>
    </row>
    <row r="62504" spans="3:13" ht="12.75" customHeight="1" x14ac:dyDescent="0.2">
      <c r="C62504"/>
      <c r="M62504"/>
    </row>
    <row r="62505" spans="3:13" ht="12.75" customHeight="1" x14ac:dyDescent="0.2">
      <c r="C62505"/>
      <c r="M62505"/>
    </row>
    <row r="62506" spans="3:13" ht="12.75" customHeight="1" x14ac:dyDescent="0.2">
      <c r="C62506"/>
      <c r="M62506"/>
    </row>
    <row r="62507" spans="3:13" ht="12.75" customHeight="1" x14ac:dyDescent="0.2">
      <c r="C62507"/>
      <c r="M62507"/>
    </row>
    <row r="62508" spans="3:13" ht="12.75" customHeight="1" x14ac:dyDescent="0.2">
      <c r="C62508"/>
      <c r="M62508"/>
    </row>
    <row r="62509" spans="3:13" ht="12.75" customHeight="1" x14ac:dyDescent="0.2">
      <c r="C62509"/>
      <c r="M62509"/>
    </row>
    <row r="62510" spans="3:13" ht="12.75" customHeight="1" x14ac:dyDescent="0.2">
      <c r="C62510"/>
      <c r="M62510"/>
    </row>
    <row r="62511" spans="3:13" ht="12.75" customHeight="1" x14ac:dyDescent="0.2">
      <c r="C62511"/>
      <c r="M62511"/>
    </row>
    <row r="62512" spans="3:13" ht="12.75" customHeight="1" x14ac:dyDescent="0.2">
      <c r="C62512"/>
      <c r="M62512"/>
    </row>
    <row r="62513" spans="3:13" ht="12.75" customHeight="1" x14ac:dyDescent="0.2">
      <c r="C62513"/>
      <c r="M62513"/>
    </row>
    <row r="62514" spans="3:13" ht="12.75" customHeight="1" x14ac:dyDescent="0.2">
      <c r="C62514"/>
      <c r="M62514"/>
    </row>
    <row r="62515" spans="3:13" ht="12.75" customHeight="1" x14ac:dyDescent="0.2">
      <c r="C62515"/>
      <c r="M62515"/>
    </row>
    <row r="62516" spans="3:13" ht="12.75" customHeight="1" x14ac:dyDescent="0.2">
      <c r="C62516"/>
      <c r="M62516"/>
    </row>
    <row r="62517" spans="3:13" ht="12.75" customHeight="1" x14ac:dyDescent="0.2">
      <c r="C62517"/>
      <c r="M62517"/>
    </row>
    <row r="62518" spans="3:13" ht="12.75" customHeight="1" x14ac:dyDescent="0.2">
      <c r="C62518"/>
      <c r="M62518"/>
    </row>
    <row r="62519" spans="3:13" ht="12.75" customHeight="1" x14ac:dyDescent="0.2">
      <c r="C62519"/>
      <c r="M62519"/>
    </row>
    <row r="62520" spans="3:13" ht="12.75" customHeight="1" x14ac:dyDescent="0.2">
      <c r="C62520"/>
      <c r="M62520"/>
    </row>
    <row r="62521" spans="3:13" ht="12.75" customHeight="1" x14ac:dyDescent="0.2">
      <c r="C62521"/>
      <c r="M62521"/>
    </row>
    <row r="62522" spans="3:13" ht="12.75" customHeight="1" x14ac:dyDescent="0.2">
      <c r="C62522"/>
      <c r="M62522"/>
    </row>
    <row r="62523" spans="3:13" ht="12.75" customHeight="1" x14ac:dyDescent="0.2">
      <c r="C62523"/>
      <c r="M62523"/>
    </row>
    <row r="62524" spans="3:13" ht="12.75" customHeight="1" x14ac:dyDescent="0.2">
      <c r="C62524"/>
      <c r="M62524"/>
    </row>
    <row r="62525" spans="3:13" ht="12.75" customHeight="1" x14ac:dyDescent="0.2">
      <c r="C62525"/>
      <c r="M62525"/>
    </row>
    <row r="62526" spans="3:13" ht="12.75" customHeight="1" x14ac:dyDescent="0.2">
      <c r="C62526"/>
      <c r="M62526"/>
    </row>
    <row r="62527" spans="3:13" ht="12.75" customHeight="1" x14ac:dyDescent="0.2">
      <c r="C62527"/>
      <c r="M62527"/>
    </row>
    <row r="62528" spans="3:13" ht="12.75" customHeight="1" x14ac:dyDescent="0.2">
      <c r="C62528"/>
      <c r="M62528"/>
    </row>
    <row r="62529" spans="3:13" ht="12.75" customHeight="1" x14ac:dyDescent="0.2">
      <c r="C62529"/>
      <c r="M62529"/>
    </row>
    <row r="62530" spans="3:13" ht="12.75" customHeight="1" x14ac:dyDescent="0.2">
      <c r="C62530"/>
      <c r="M62530"/>
    </row>
    <row r="62531" spans="3:13" ht="12.75" customHeight="1" x14ac:dyDescent="0.2">
      <c r="C62531"/>
      <c r="M62531"/>
    </row>
    <row r="62532" spans="3:13" ht="12.75" customHeight="1" x14ac:dyDescent="0.2">
      <c r="C62532"/>
      <c r="M62532"/>
    </row>
    <row r="62533" spans="3:13" ht="12.75" customHeight="1" x14ac:dyDescent="0.2">
      <c r="C62533"/>
      <c r="M62533"/>
    </row>
    <row r="62534" spans="3:13" ht="12.75" customHeight="1" x14ac:dyDescent="0.2">
      <c r="C62534"/>
      <c r="M62534"/>
    </row>
    <row r="62535" spans="3:13" ht="12.75" customHeight="1" x14ac:dyDescent="0.2">
      <c r="C62535"/>
      <c r="M62535"/>
    </row>
    <row r="62536" spans="3:13" ht="12.75" customHeight="1" x14ac:dyDescent="0.2">
      <c r="C62536"/>
      <c r="M62536"/>
    </row>
    <row r="62537" spans="3:13" ht="12.75" customHeight="1" x14ac:dyDescent="0.2">
      <c r="C62537"/>
      <c r="M62537"/>
    </row>
    <row r="62538" spans="3:13" ht="12.75" customHeight="1" x14ac:dyDescent="0.2">
      <c r="C62538"/>
      <c r="M62538"/>
    </row>
    <row r="62539" spans="3:13" ht="12.75" customHeight="1" x14ac:dyDescent="0.2">
      <c r="C62539"/>
      <c r="M62539"/>
    </row>
    <row r="62540" spans="3:13" ht="12.75" customHeight="1" x14ac:dyDescent="0.2">
      <c r="C62540"/>
      <c r="M62540"/>
    </row>
    <row r="62541" spans="3:13" ht="12.75" customHeight="1" x14ac:dyDescent="0.2">
      <c r="C62541"/>
      <c r="M62541"/>
    </row>
    <row r="62542" spans="3:13" ht="12.75" customHeight="1" x14ac:dyDescent="0.2">
      <c r="C62542"/>
      <c r="M62542"/>
    </row>
    <row r="62543" spans="3:13" ht="12.75" customHeight="1" x14ac:dyDescent="0.2">
      <c r="C62543"/>
      <c r="M62543"/>
    </row>
    <row r="62544" spans="3:13" ht="12.75" customHeight="1" x14ac:dyDescent="0.2">
      <c r="C62544"/>
      <c r="M62544"/>
    </row>
    <row r="62545" spans="3:13" ht="12.75" customHeight="1" x14ac:dyDescent="0.2">
      <c r="C62545"/>
      <c r="M62545"/>
    </row>
    <row r="62546" spans="3:13" ht="12.75" customHeight="1" x14ac:dyDescent="0.2">
      <c r="C62546"/>
      <c r="M62546"/>
    </row>
    <row r="62547" spans="3:13" ht="12.75" customHeight="1" x14ac:dyDescent="0.2">
      <c r="C62547"/>
      <c r="M62547"/>
    </row>
    <row r="62548" spans="3:13" ht="12.75" customHeight="1" x14ac:dyDescent="0.2">
      <c r="C62548"/>
      <c r="M62548"/>
    </row>
    <row r="62549" spans="3:13" ht="12.75" customHeight="1" x14ac:dyDescent="0.2">
      <c r="C62549"/>
      <c r="M62549"/>
    </row>
    <row r="62550" spans="3:13" ht="12.75" customHeight="1" x14ac:dyDescent="0.2">
      <c r="C62550"/>
      <c r="M62550"/>
    </row>
    <row r="62551" spans="3:13" ht="12.75" customHeight="1" x14ac:dyDescent="0.2">
      <c r="C62551"/>
      <c r="M62551"/>
    </row>
    <row r="62552" spans="3:13" ht="12.75" customHeight="1" x14ac:dyDescent="0.2">
      <c r="C62552"/>
      <c r="M62552"/>
    </row>
    <row r="62553" spans="3:13" ht="12.75" customHeight="1" x14ac:dyDescent="0.2">
      <c r="C62553"/>
      <c r="M62553"/>
    </row>
    <row r="62554" spans="3:13" ht="12.75" customHeight="1" x14ac:dyDescent="0.2">
      <c r="C62554"/>
      <c r="M62554"/>
    </row>
    <row r="62555" spans="3:13" ht="12.75" customHeight="1" x14ac:dyDescent="0.2">
      <c r="C62555"/>
      <c r="M62555"/>
    </row>
    <row r="62556" spans="3:13" ht="12.75" customHeight="1" x14ac:dyDescent="0.2">
      <c r="C62556"/>
      <c r="M62556"/>
    </row>
    <row r="62557" spans="3:13" ht="12.75" customHeight="1" x14ac:dyDescent="0.2">
      <c r="C62557"/>
      <c r="M62557"/>
    </row>
    <row r="62558" spans="3:13" ht="12.75" customHeight="1" x14ac:dyDescent="0.2">
      <c r="C62558"/>
      <c r="M62558"/>
    </row>
    <row r="62559" spans="3:13" ht="12.75" customHeight="1" x14ac:dyDescent="0.2">
      <c r="C62559"/>
      <c r="M62559"/>
    </row>
    <row r="62560" spans="3:13" ht="12.75" customHeight="1" x14ac:dyDescent="0.2">
      <c r="C62560"/>
      <c r="M62560"/>
    </row>
    <row r="62561" spans="3:13" ht="12.75" customHeight="1" x14ac:dyDescent="0.2">
      <c r="C62561"/>
      <c r="M62561"/>
    </row>
    <row r="62562" spans="3:13" ht="12.75" customHeight="1" x14ac:dyDescent="0.2">
      <c r="C62562"/>
      <c r="M62562"/>
    </row>
    <row r="62563" spans="3:13" ht="12.75" customHeight="1" x14ac:dyDescent="0.2">
      <c r="C62563"/>
      <c r="M62563"/>
    </row>
    <row r="62564" spans="3:13" ht="12.75" customHeight="1" x14ac:dyDescent="0.2">
      <c r="C62564"/>
      <c r="M62564"/>
    </row>
    <row r="62565" spans="3:13" ht="12.75" customHeight="1" x14ac:dyDescent="0.2">
      <c r="C62565"/>
      <c r="M62565"/>
    </row>
    <row r="62566" spans="3:13" ht="12.75" customHeight="1" x14ac:dyDescent="0.2">
      <c r="C62566"/>
      <c r="M62566"/>
    </row>
    <row r="62567" spans="3:13" ht="12.75" customHeight="1" x14ac:dyDescent="0.2">
      <c r="C62567"/>
      <c r="M62567"/>
    </row>
    <row r="62568" spans="3:13" ht="12.75" customHeight="1" x14ac:dyDescent="0.2">
      <c r="C62568"/>
      <c r="M62568"/>
    </row>
    <row r="62569" spans="3:13" ht="12.75" customHeight="1" x14ac:dyDescent="0.2">
      <c r="C62569"/>
      <c r="M62569"/>
    </row>
    <row r="62570" spans="3:13" ht="12.75" customHeight="1" x14ac:dyDescent="0.2">
      <c r="C62570"/>
      <c r="M62570"/>
    </row>
    <row r="62571" spans="3:13" ht="12.75" customHeight="1" x14ac:dyDescent="0.2">
      <c r="C62571"/>
      <c r="M62571"/>
    </row>
    <row r="62572" spans="3:13" ht="12.75" customHeight="1" x14ac:dyDescent="0.2">
      <c r="C62572"/>
      <c r="M62572"/>
    </row>
    <row r="62573" spans="3:13" ht="12.75" customHeight="1" x14ac:dyDescent="0.2">
      <c r="C62573"/>
      <c r="M62573"/>
    </row>
    <row r="62574" spans="3:13" ht="12.75" customHeight="1" x14ac:dyDescent="0.2">
      <c r="C62574"/>
      <c r="M62574"/>
    </row>
    <row r="62575" spans="3:13" ht="12.75" customHeight="1" x14ac:dyDescent="0.2">
      <c r="C62575"/>
      <c r="M62575"/>
    </row>
    <row r="62576" spans="3:13" ht="12.75" customHeight="1" x14ac:dyDescent="0.2">
      <c r="C62576"/>
      <c r="M62576"/>
    </row>
    <row r="62577" spans="3:13" ht="12.75" customHeight="1" x14ac:dyDescent="0.2">
      <c r="C62577"/>
      <c r="M62577"/>
    </row>
    <row r="62578" spans="3:13" ht="12.75" customHeight="1" x14ac:dyDescent="0.2">
      <c r="C62578"/>
      <c r="M62578"/>
    </row>
    <row r="62579" spans="3:13" ht="12.75" customHeight="1" x14ac:dyDescent="0.2">
      <c r="C62579"/>
      <c r="M62579"/>
    </row>
    <row r="62580" spans="3:13" ht="12.75" customHeight="1" x14ac:dyDescent="0.2">
      <c r="C62580"/>
      <c r="M62580"/>
    </row>
    <row r="62581" spans="3:13" ht="12.75" customHeight="1" x14ac:dyDescent="0.2">
      <c r="C62581"/>
      <c r="M62581"/>
    </row>
    <row r="62582" spans="3:13" ht="12.75" customHeight="1" x14ac:dyDescent="0.2">
      <c r="C62582"/>
      <c r="M62582"/>
    </row>
    <row r="62583" spans="3:13" ht="12.75" customHeight="1" x14ac:dyDescent="0.2">
      <c r="C62583"/>
      <c r="M62583"/>
    </row>
    <row r="62584" spans="3:13" ht="12.75" customHeight="1" x14ac:dyDescent="0.2">
      <c r="C62584"/>
      <c r="M62584"/>
    </row>
    <row r="62585" spans="3:13" ht="12.75" customHeight="1" x14ac:dyDescent="0.2">
      <c r="C62585"/>
      <c r="M62585"/>
    </row>
    <row r="62586" spans="3:13" ht="12.75" customHeight="1" x14ac:dyDescent="0.2">
      <c r="C62586"/>
      <c r="M62586"/>
    </row>
    <row r="62587" spans="3:13" ht="12.75" customHeight="1" x14ac:dyDescent="0.2">
      <c r="C62587"/>
      <c r="M62587"/>
    </row>
    <row r="62588" spans="3:13" ht="12.75" customHeight="1" x14ac:dyDescent="0.2">
      <c r="C62588"/>
      <c r="M62588"/>
    </row>
    <row r="62589" spans="3:13" ht="12.75" customHeight="1" x14ac:dyDescent="0.2">
      <c r="C62589"/>
      <c r="M62589"/>
    </row>
    <row r="62590" spans="3:13" ht="12.75" customHeight="1" x14ac:dyDescent="0.2">
      <c r="C62590"/>
      <c r="M62590"/>
    </row>
    <row r="62591" spans="3:13" ht="12.75" customHeight="1" x14ac:dyDescent="0.2">
      <c r="C62591"/>
      <c r="M62591"/>
    </row>
    <row r="62592" spans="3:13" ht="12.75" customHeight="1" x14ac:dyDescent="0.2">
      <c r="C62592"/>
      <c r="M62592"/>
    </row>
    <row r="62593" spans="3:13" ht="12.75" customHeight="1" x14ac:dyDescent="0.2">
      <c r="C62593"/>
      <c r="M62593"/>
    </row>
    <row r="62594" spans="3:13" ht="12.75" customHeight="1" x14ac:dyDescent="0.2">
      <c r="C62594"/>
      <c r="M62594"/>
    </row>
    <row r="62595" spans="3:13" ht="12.75" customHeight="1" x14ac:dyDescent="0.2">
      <c r="C62595"/>
      <c r="M62595"/>
    </row>
    <row r="62596" spans="3:13" ht="12.75" customHeight="1" x14ac:dyDescent="0.2">
      <c r="C62596"/>
      <c r="M62596"/>
    </row>
    <row r="62597" spans="3:13" ht="12.75" customHeight="1" x14ac:dyDescent="0.2">
      <c r="C62597"/>
      <c r="M62597"/>
    </row>
    <row r="62598" spans="3:13" ht="12.75" customHeight="1" x14ac:dyDescent="0.2">
      <c r="C62598"/>
      <c r="M62598"/>
    </row>
    <row r="62599" spans="3:13" ht="12.75" customHeight="1" x14ac:dyDescent="0.2">
      <c r="C62599"/>
      <c r="M62599"/>
    </row>
    <row r="62600" spans="3:13" ht="12.75" customHeight="1" x14ac:dyDescent="0.2">
      <c r="C62600"/>
      <c r="M62600"/>
    </row>
    <row r="62601" spans="3:13" ht="12.75" customHeight="1" x14ac:dyDescent="0.2">
      <c r="C62601"/>
      <c r="M62601"/>
    </row>
    <row r="62602" spans="3:13" ht="12.75" customHeight="1" x14ac:dyDescent="0.2">
      <c r="C62602"/>
      <c r="M62602"/>
    </row>
    <row r="62603" spans="3:13" ht="12.75" customHeight="1" x14ac:dyDescent="0.2">
      <c r="C62603"/>
      <c r="M62603"/>
    </row>
    <row r="62604" spans="3:13" ht="12.75" customHeight="1" x14ac:dyDescent="0.2">
      <c r="C62604"/>
      <c r="M62604"/>
    </row>
    <row r="62605" spans="3:13" ht="12.75" customHeight="1" x14ac:dyDescent="0.2">
      <c r="C62605"/>
      <c r="M62605"/>
    </row>
    <row r="62606" spans="3:13" ht="12.75" customHeight="1" x14ac:dyDescent="0.2">
      <c r="C62606"/>
      <c r="M62606"/>
    </row>
    <row r="62607" spans="3:13" ht="12.75" customHeight="1" x14ac:dyDescent="0.2">
      <c r="C62607"/>
      <c r="M62607"/>
    </row>
    <row r="62608" spans="3:13" ht="12.75" customHeight="1" x14ac:dyDescent="0.2">
      <c r="C62608"/>
      <c r="M62608"/>
    </row>
    <row r="62609" spans="3:13" ht="12.75" customHeight="1" x14ac:dyDescent="0.2">
      <c r="C62609"/>
      <c r="M62609"/>
    </row>
    <row r="62610" spans="3:13" ht="12.75" customHeight="1" x14ac:dyDescent="0.2">
      <c r="C62610"/>
      <c r="M62610"/>
    </row>
    <row r="62611" spans="3:13" ht="12.75" customHeight="1" x14ac:dyDescent="0.2">
      <c r="C62611"/>
      <c r="M62611"/>
    </row>
    <row r="62612" spans="3:13" ht="12.75" customHeight="1" x14ac:dyDescent="0.2">
      <c r="C62612"/>
      <c r="M62612"/>
    </row>
    <row r="62613" spans="3:13" ht="12.75" customHeight="1" x14ac:dyDescent="0.2">
      <c r="C62613"/>
      <c r="M62613"/>
    </row>
    <row r="62614" spans="3:13" ht="12.75" customHeight="1" x14ac:dyDescent="0.2">
      <c r="C62614"/>
      <c r="M62614"/>
    </row>
    <row r="62615" spans="3:13" ht="12.75" customHeight="1" x14ac:dyDescent="0.2">
      <c r="C62615"/>
      <c r="M62615"/>
    </row>
    <row r="62616" spans="3:13" ht="12.75" customHeight="1" x14ac:dyDescent="0.2">
      <c r="C62616"/>
      <c r="M62616"/>
    </row>
    <row r="62617" spans="3:13" ht="12.75" customHeight="1" x14ac:dyDescent="0.2">
      <c r="C62617"/>
      <c r="M62617"/>
    </row>
    <row r="62618" spans="3:13" ht="12.75" customHeight="1" x14ac:dyDescent="0.2">
      <c r="C62618"/>
      <c r="M62618"/>
    </row>
    <row r="62619" spans="3:13" ht="12.75" customHeight="1" x14ac:dyDescent="0.2">
      <c r="C62619"/>
      <c r="M62619"/>
    </row>
    <row r="62620" spans="3:13" ht="12.75" customHeight="1" x14ac:dyDescent="0.2">
      <c r="C62620"/>
      <c r="M62620"/>
    </row>
    <row r="62621" spans="3:13" ht="12.75" customHeight="1" x14ac:dyDescent="0.2">
      <c r="C62621"/>
      <c r="M62621"/>
    </row>
    <row r="62622" spans="3:13" ht="12.75" customHeight="1" x14ac:dyDescent="0.2">
      <c r="C62622"/>
      <c r="M62622"/>
    </row>
    <row r="62623" spans="3:13" ht="12.75" customHeight="1" x14ac:dyDescent="0.2">
      <c r="C62623"/>
      <c r="M62623"/>
    </row>
    <row r="62624" spans="3:13" ht="12.75" customHeight="1" x14ac:dyDescent="0.2">
      <c r="C62624"/>
      <c r="M62624"/>
    </row>
    <row r="62625" spans="3:13" ht="12.75" customHeight="1" x14ac:dyDescent="0.2">
      <c r="C62625"/>
      <c r="M62625"/>
    </row>
    <row r="62626" spans="3:13" ht="12.75" customHeight="1" x14ac:dyDescent="0.2">
      <c r="C62626"/>
      <c r="M62626"/>
    </row>
    <row r="62627" spans="3:13" ht="12.75" customHeight="1" x14ac:dyDescent="0.2">
      <c r="C62627"/>
      <c r="M62627"/>
    </row>
    <row r="62628" spans="3:13" ht="12.75" customHeight="1" x14ac:dyDescent="0.2">
      <c r="C62628"/>
      <c r="M62628"/>
    </row>
    <row r="62629" spans="3:13" ht="12.75" customHeight="1" x14ac:dyDescent="0.2">
      <c r="C62629"/>
      <c r="M62629"/>
    </row>
    <row r="62630" spans="3:13" ht="12.75" customHeight="1" x14ac:dyDescent="0.2">
      <c r="C62630"/>
      <c r="M62630"/>
    </row>
    <row r="62631" spans="3:13" ht="12.75" customHeight="1" x14ac:dyDescent="0.2">
      <c r="C62631"/>
      <c r="M62631"/>
    </row>
    <row r="62632" spans="3:13" ht="12.75" customHeight="1" x14ac:dyDescent="0.2">
      <c r="C62632"/>
      <c r="M62632"/>
    </row>
    <row r="62633" spans="3:13" ht="12.75" customHeight="1" x14ac:dyDescent="0.2">
      <c r="C62633"/>
      <c r="M62633"/>
    </row>
    <row r="62634" spans="3:13" ht="12.75" customHeight="1" x14ac:dyDescent="0.2">
      <c r="C62634"/>
      <c r="M62634"/>
    </row>
    <row r="62635" spans="3:13" ht="12.75" customHeight="1" x14ac:dyDescent="0.2">
      <c r="C62635"/>
      <c r="M62635"/>
    </row>
    <row r="62636" spans="3:13" ht="12.75" customHeight="1" x14ac:dyDescent="0.2">
      <c r="C62636"/>
      <c r="M62636"/>
    </row>
    <row r="62637" spans="3:13" ht="12.75" customHeight="1" x14ac:dyDescent="0.2">
      <c r="C62637"/>
      <c r="M62637"/>
    </row>
    <row r="62638" spans="3:13" ht="12.75" customHeight="1" x14ac:dyDescent="0.2">
      <c r="C62638"/>
      <c r="M62638"/>
    </row>
    <row r="62639" spans="3:13" ht="12.75" customHeight="1" x14ac:dyDescent="0.2">
      <c r="C62639"/>
      <c r="M62639"/>
    </row>
    <row r="62640" spans="3:13" ht="12.75" customHeight="1" x14ac:dyDescent="0.2">
      <c r="C62640"/>
      <c r="M62640"/>
    </row>
    <row r="62641" spans="3:13" ht="12.75" customHeight="1" x14ac:dyDescent="0.2">
      <c r="C62641"/>
      <c r="M62641"/>
    </row>
    <row r="62642" spans="3:13" ht="12.75" customHeight="1" x14ac:dyDescent="0.2">
      <c r="C62642"/>
      <c r="M62642"/>
    </row>
    <row r="62643" spans="3:13" ht="12.75" customHeight="1" x14ac:dyDescent="0.2">
      <c r="C62643"/>
      <c r="M62643"/>
    </row>
    <row r="62644" spans="3:13" ht="12.75" customHeight="1" x14ac:dyDescent="0.2">
      <c r="C62644"/>
      <c r="M62644"/>
    </row>
    <row r="62645" spans="3:13" ht="12.75" customHeight="1" x14ac:dyDescent="0.2">
      <c r="C62645"/>
      <c r="M62645"/>
    </row>
    <row r="62646" spans="3:13" ht="12.75" customHeight="1" x14ac:dyDescent="0.2">
      <c r="C62646"/>
      <c r="M62646"/>
    </row>
    <row r="62647" spans="3:13" ht="12.75" customHeight="1" x14ac:dyDescent="0.2">
      <c r="C62647"/>
      <c r="M62647"/>
    </row>
    <row r="62648" spans="3:13" ht="12.75" customHeight="1" x14ac:dyDescent="0.2">
      <c r="C62648"/>
      <c r="M62648"/>
    </row>
    <row r="62649" spans="3:13" ht="12.75" customHeight="1" x14ac:dyDescent="0.2">
      <c r="C62649"/>
      <c r="M62649"/>
    </row>
    <row r="62650" spans="3:13" ht="12.75" customHeight="1" x14ac:dyDescent="0.2">
      <c r="C62650"/>
      <c r="M62650"/>
    </row>
    <row r="62651" spans="3:13" ht="12.75" customHeight="1" x14ac:dyDescent="0.2">
      <c r="C62651"/>
      <c r="M62651"/>
    </row>
    <row r="62652" spans="3:13" ht="12.75" customHeight="1" x14ac:dyDescent="0.2">
      <c r="C62652"/>
      <c r="M62652"/>
    </row>
    <row r="62653" spans="3:13" ht="12.75" customHeight="1" x14ac:dyDescent="0.2">
      <c r="C62653"/>
      <c r="M62653"/>
    </row>
    <row r="62654" spans="3:13" ht="12.75" customHeight="1" x14ac:dyDescent="0.2">
      <c r="C62654"/>
      <c r="M62654"/>
    </row>
    <row r="62655" spans="3:13" ht="12.75" customHeight="1" x14ac:dyDescent="0.2">
      <c r="C62655"/>
      <c r="M62655"/>
    </row>
    <row r="62656" spans="3:13" ht="12.75" customHeight="1" x14ac:dyDescent="0.2">
      <c r="C62656"/>
      <c r="M62656"/>
    </row>
    <row r="62657" spans="3:13" ht="12.75" customHeight="1" x14ac:dyDescent="0.2">
      <c r="C62657"/>
      <c r="M62657"/>
    </row>
    <row r="62658" spans="3:13" ht="12.75" customHeight="1" x14ac:dyDescent="0.2">
      <c r="C62658"/>
      <c r="M62658"/>
    </row>
    <row r="62659" spans="3:13" ht="12.75" customHeight="1" x14ac:dyDescent="0.2">
      <c r="C62659"/>
      <c r="M62659"/>
    </row>
    <row r="62660" spans="3:13" ht="12.75" customHeight="1" x14ac:dyDescent="0.2">
      <c r="C62660"/>
      <c r="M62660"/>
    </row>
    <row r="62661" spans="3:13" ht="12.75" customHeight="1" x14ac:dyDescent="0.2">
      <c r="C62661"/>
      <c r="M62661"/>
    </row>
    <row r="62662" spans="3:13" ht="12.75" customHeight="1" x14ac:dyDescent="0.2">
      <c r="C62662"/>
      <c r="M62662"/>
    </row>
    <row r="62663" spans="3:13" ht="12.75" customHeight="1" x14ac:dyDescent="0.2">
      <c r="C62663"/>
      <c r="M62663"/>
    </row>
    <row r="62664" spans="3:13" ht="12.75" customHeight="1" x14ac:dyDescent="0.2">
      <c r="C62664"/>
      <c r="M62664"/>
    </row>
    <row r="62665" spans="3:13" ht="12.75" customHeight="1" x14ac:dyDescent="0.2">
      <c r="C62665"/>
      <c r="M62665"/>
    </row>
    <row r="62666" spans="3:13" ht="12.75" customHeight="1" x14ac:dyDescent="0.2">
      <c r="C62666"/>
      <c r="M62666"/>
    </row>
    <row r="62667" spans="3:13" ht="12.75" customHeight="1" x14ac:dyDescent="0.2">
      <c r="C62667"/>
      <c r="M62667"/>
    </row>
    <row r="62668" spans="3:13" ht="12.75" customHeight="1" x14ac:dyDescent="0.2">
      <c r="C62668"/>
      <c r="M62668"/>
    </row>
    <row r="62669" spans="3:13" ht="12.75" customHeight="1" x14ac:dyDescent="0.2">
      <c r="C62669"/>
      <c r="M62669"/>
    </row>
    <row r="62670" spans="3:13" ht="12.75" customHeight="1" x14ac:dyDescent="0.2">
      <c r="C62670"/>
      <c r="M62670"/>
    </row>
    <row r="62671" spans="3:13" ht="12.75" customHeight="1" x14ac:dyDescent="0.2">
      <c r="C62671"/>
      <c r="M62671"/>
    </row>
    <row r="62672" spans="3:13" ht="12.75" customHeight="1" x14ac:dyDescent="0.2">
      <c r="C62672"/>
      <c r="M62672"/>
    </row>
    <row r="62673" spans="3:13" ht="12.75" customHeight="1" x14ac:dyDescent="0.2">
      <c r="C62673"/>
      <c r="M62673"/>
    </row>
    <row r="62674" spans="3:13" ht="12.75" customHeight="1" x14ac:dyDescent="0.2">
      <c r="C62674"/>
      <c r="M62674"/>
    </row>
    <row r="62675" spans="3:13" ht="12.75" customHeight="1" x14ac:dyDescent="0.2">
      <c r="C62675"/>
      <c r="M62675"/>
    </row>
    <row r="62676" spans="3:13" ht="12.75" customHeight="1" x14ac:dyDescent="0.2">
      <c r="C62676"/>
      <c r="M62676"/>
    </row>
    <row r="62677" spans="3:13" ht="12.75" customHeight="1" x14ac:dyDescent="0.2">
      <c r="C62677"/>
      <c r="M62677"/>
    </row>
    <row r="62678" spans="3:13" ht="12.75" customHeight="1" x14ac:dyDescent="0.2">
      <c r="C62678"/>
      <c r="M62678"/>
    </row>
    <row r="62679" spans="3:13" ht="12.75" customHeight="1" x14ac:dyDescent="0.2">
      <c r="C62679"/>
      <c r="M62679"/>
    </row>
    <row r="62680" spans="3:13" ht="12.75" customHeight="1" x14ac:dyDescent="0.2">
      <c r="C62680"/>
      <c r="M62680"/>
    </row>
    <row r="62681" spans="3:13" ht="12.75" customHeight="1" x14ac:dyDescent="0.2">
      <c r="C62681"/>
      <c r="M62681"/>
    </row>
    <row r="62682" spans="3:13" ht="12.75" customHeight="1" x14ac:dyDescent="0.2">
      <c r="C62682"/>
      <c r="M62682"/>
    </row>
    <row r="62683" spans="3:13" ht="12.75" customHeight="1" x14ac:dyDescent="0.2">
      <c r="C62683"/>
      <c r="M62683"/>
    </row>
    <row r="62684" spans="3:13" ht="12.75" customHeight="1" x14ac:dyDescent="0.2">
      <c r="C62684"/>
      <c r="M62684"/>
    </row>
    <row r="62685" spans="3:13" ht="12.75" customHeight="1" x14ac:dyDescent="0.2">
      <c r="C62685"/>
      <c r="M62685"/>
    </row>
    <row r="62686" spans="3:13" ht="12.75" customHeight="1" x14ac:dyDescent="0.2">
      <c r="C62686"/>
      <c r="M62686"/>
    </row>
    <row r="62687" spans="3:13" ht="12.75" customHeight="1" x14ac:dyDescent="0.2">
      <c r="C62687"/>
      <c r="M62687"/>
    </row>
    <row r="62688" spans="3:13" ht="12.75" customHeight="1" x14ac:dyDescent="0.2">
      <c r="C62688"/>
      <c r="M62688"/>
    </row>
    <row r="62689" spans="3:13" ht="12.75" customHeight="1" x14ac:dyDescent="0.2">
      <c r="C62689"/>
      <c r="M62689"/>
    </row>
    <row r="62690" spans="3:13" ht="12.75" customHeight="1" x14ac:dyDescent="0.2">
      <c r="C62690"/>
      <c r="M62690"/>
    </row>
    <row r="62691" spans="3:13" ht="12.75" customHeight="1" x14ac:dyDescent="0.2">
      <c r="C62691"/>
      <c r="M62691"/>
    </row>
    <row r="62692" spans="3:13" ht="12.75" customHeight="1" x14ac:dyDescent="0.2">
      <c r="C62692"/>
      <c r="M62692"/>
    </row>
    <row r="62693" spans="3:13" ht="12.75" customHeight="1" x14ac:dyDescent="0.2">
      <c r="C62693"/>
      <c r="M62693"/>
    </row>
    <row r="62694" spans="3:13" ht="12.75" customHeight="1" x14ac:dyDescent="0.2">
      <c r="C62694"/>
      <c r="M62694"/>
    </row>
    <row r="62695" spans="3:13" ht="12.75" customHeight="1" x14ac:dyDescent="0.2">
      <c r="C62695"/>
      <c r="M62695"/>
    </row>
    <row r="62696" spans="3:13" ht="12.75" customHeight="1" x14ac:dyDescent="0.2">
      <c r="C62696"/>
      <c r="M62696"/>
    </row>
    <row r="62697" spans="3:13" ht="12.75" customHeight="1" x14ac:dyDescent="0.2">
      <c r="C62697"/>
      <c r="M62697"/>
    </row>
    <row r="62698" spans="3:13" ht="12.75" customHeight="1" x14ac:dyDescent="0.2">
      <c r="C62698"/>
      <c r="M62698"/>
    </row>
    <row r="62699" spans="3:13" ht="12.75" customHeight="1" x14ac:dyDescent="0.2">
      <c r="C62699"/>
      <c r="M62699"/>
    </row>
    <row r="62700" spans="3:13" ht="12.75" customHeight="1" x14ac:dyDescent="0.2">
      <c r="C62700"/>
      <c r="M62700"/>
    </row>
    <row r="62701" spans="3:13" ht="12.75" customHeight="1" x14ac:dyDescent="0.2">
      <c r="C62701"/>
      <c r="M62701"/>
    </row>
    <row r="62702" spans="3:13" ht="12.75" customHeight="1" x14ac:dyDescent="0.2">
      <c r="C62702"/>
      <c r="M62702"/>
    </row>
    <row r="62703" spans="3:13" ht="12.75" customHeight="1" x14ac:dyDescent="0.2">
      <c r="C62703"/>
      <c r="M62703"/>
    </row>
    <row r="62704" spans="3:13" ht="12.75" customHeight="1" x14ac:dyDescent="0.2">
      <c r="C62704"/>
      <c r="M62704"/>
    </row>
    <row r="62705" spans="3:13" ht="12.75" customHeight="1" x14ac:dyDescent="0.2">
      <c r="C62705"/>
      <c r="M62705"/>
    </row>
    <row r="62706" spans="3:13" ht="12.75" customHeight="1" x14ac:dyDescent="0.2">
      <c r="C62706"/>
      <c r="M62706"/>
    </row>
    <row r="62707" spans="3:13" ht="12.75" customHeight="1" x14ac:dyDescent="0.2">
      <c r="C62707"/>
      <c r="M62707"/>
    </row>
    <row r="62708" spans="3:13" ht="12.75" customHeight="1" x14ac:dyDescent="0.2">
      <c r="C62708"/>
      <c r="M62708"/>
    </row>
    <row r="62709" spans="3:13" ht="12.75" customHeight="1" x14ac:dyDescent="0.2">
      <c r="C62709"/>
      <c r="M62709"/>
    </row>
    <row r="62710" spans="3:13" ht="12.75" customHeight="1" x14ac:dyDescent="0.2">
      <c r="C62710"/>
      <c r="M62710"/>
    </row>
    <row r="62711" spans="3:13" ht="12.75" customHeight="1" x14ac:dyDescent="0.2">
      <c r="C62711"/>
      <c r="M62711"/>
    </row>
    <row r="62712" spans="3:13" ht="12.75" customHeight="1" x14ac:dyDescent="0.2">
      <c r="C62712"/>
      <c r="M62712"/>
    </row>
    <row r="62713" spans="3:13" ht="12.75" customHeight="1" x14ac:dyDescent="0.2">
      <c r="C62713"/>
      <c r="M62713"/>
    </row>
    <row r="62714" spans="3:13" ht="12.75" customHeight="1" x14ac:dyDescent="0.2">
      <c r="C62714"/>
      <c r="M62714"/>
    </row>
    <row r="62715" spans="3:13" ht="12.75" customHeight="1" x14ac:dyDescent="0.2">
      <c r="C62715"/>
      <c r="M62715"/>
    </row>
    <row r="62716" spans="3:13" ht="12.75" customHeight="1" x14ac:dyDescent="0.2">
      <c r="C62716"/>
      <c r="M62716"/>
    </row>
    <row r="62717" spans="3:13" ht="12.75" customHeight="1" x14ac:dyDescent="0.2">
      <c r="C62717"/>
      <c r="M62717"/>
    </row>
    <row r="62718" spans="3:13" ht="12.75" customHeight="1" x14ac:dyDescent="0.2">
      <c r="C62718"/>
      <c r="M62718"/>
    </row>
    <row r="62719" spans="3:13" ht="12.75" customHeight="1" x14ac:dyDescent="0.2">
      <c r="C62719"/>
      <c r="M62719"/>
    </row>
    <row r="62720" spans="3:13" ht="12.75" customHeight="1" x14ac:dyDescent="0.2">
      <c r="C62720"/>
      <c r="M62720"/>
    </row>
    <row r="62721" spans="3:13" ht="12.75" customHeight="1" x14ac:dyDescent="0.2">
      <c r="C62721"/>
      <c r="M62721"/>
    </row>
    <row r="62722" spans="3:13" ht="12.75" customHeight="1" x14ac:dyDescent="0.2">
      <c r="C62722"/>
      <c r="M62722"/>
    </row>
    <row r="62723" spans="3:13" ht="12.75" customHeight="1" x14ac:dyDescent="0.2">
      <c r="C62723"/>
      <c r="M62723"/>
    </row>
    <row r="62724" spans="3:13" ht="12.75" customHeight="1" x14ac:dyDescent="0.2">
      <c r="C62724"/>
      <c r="M62724"/>
    </row>
    <row r="62725" spans="3:13" ht="12.75" customHeight="1" x14ac:dyDescent="0.2">
      <c r="C62725"/>
      <c r="M62725"/>
    </row>
    <row r="62726" spans="3:13" ht="12.75" customHeight="1" x14ac:dyDescent="0.2">
      <c r="C62726"/>
      <c r="M62726"/>
    </row>
    <row r="62727" spans="3:13" ht="12.75" customHeight="1" x14ac:dyDescent="0.2">
      <c r="C62727"/>
      <c r="M62727"/>
    </row>
    <row r="62728" spans="3:13" ht="12.75" customHeight="1" x14ac:dyDescent="0.2">
      <c r="C62728"/>
      <c r="M62728"/>
    </row>
    <row r="62729" spans="3:13" ht="12.75" customHeight="1" x14ac:dyDescent="0.2">
      <c r="C62729"/>
      <c r="M62729"/>
    </row>
    <row r="62730" spans="3:13" ht="12.75" customHeight="1" x14ac:dyDescent="0.2">
      <c r="C62730"/>
      <c r="M62730"/>
    </row>
    <row r="62731" spans="3:13" ht="12.75" customHeight="1" x14ac:dyDescent="0.2">
      <c r="C62731"/>
      <c r="M62731"/>
    </row>
    <row r="62732" spans="3:13" ht="12.75" customHeight="1" x14ac:dyDescent="0.2">
      <c r="C62732"/>
      <c r="M62732"/>
    </row>
    <row r="62733" spans="3:13" ht="12.75" customHeight="1" x14ac:dyDescent="0.2">
      <c r="C62733"/>
      <c r="M62733"/>
    </row>
    <row r="62734" spans="3:13" ht="12.75" customHeight="1" x14ac:dyDescent="0.2">
      <c r="C62734"/>
      <c r="M62734"/>
    </row>
    <row r="62735" spans="3:13" ht="12.75" customHeight="1" x14ac:dyDescent="0.2">
      <c r="C62735"/>
      <c r="M62735"/>
    </row>
    <row r="62736" spans="3:13" ht="12.75" customHeight="1" x14ac:dyDescent="0.2">
      <c r="C62736"/>
      <c r="M62736"/>
    </row>
    <row r="62737" spans="3:13" ht="12.75" customHeight="1" x14ac:dyDescent="0.2">
      <c r="C62737"/>
      <c r="M62737"/>
    </row>
    <row r="62738" spans="3:13" ht="12.75" customHeight="1" x14ac:dyDescent="0.2">
      <c r="C62738"/>
      <c r="M62738"/>
    </row>
    <row r="62739" spans="3:13" ht="12.75" customHeight="1" x14ac:dyDescent="0.2">
      <c r="C62739"/>
      <c r="M62739"/>
    </row>
    <row r="62740" spans="3:13" ht="12.75" customHeight="1" x14ac:dyDescent="0.2">
      <c r="C62740"/>
      <c r="M62740"/>
    </row>
    <row r="62741" spans="3:13" ht="12.75" customHeight="1" x14ac:dyDescent="0.2">
      <c r="C62741"/>
      <c r="M62741"/>
    </row>
    <row r="62742" spans="3:13" ht="12.75" customHeight="1" x14ac:dyDescent="0.2">
      <c r="C62742"/>
      <c r="M62742"/>
    </row>
    <row r="62743" spans="3:13" ht="12.75" customHeight="1" x14ac:dyDescent="0.2">
      <c r="C62743"/>
      <c r="M62743"/>
    </row>
    <row r="62744" spans="3:13" ht="12.75" customHeight="1" x14ac:dyDescent="0.2">
      <c r="C62744"/>
      <c r="M62744"/>
    </row>
    <row r="62745" spans="3:13" ht="12.75" customHeight="1" x14ac:dyDescent="0.2">
      <c r="C62745"/>
      <c r="M62745"/>
    </row>
    <row r="62746" spans="3:13" ht="12.75" customHeight="1" x14ac:dyDescent="0.2">
      <c r="C62746"/>
      <c r="M62746"/>
    </row>
    <row r="62747" spans="3:13" ht="12.75" customHeight="1" x14ac:dyDescent="0.2">
      <c r="C62747"/>
      <c r="M62747"/>
    </row>
    <row r="62748" spans="3:13" ht="12.75" customHeight="1" x14ac:dyDescent="0.2">
      <c r="C62748"/>
      <c r="M62748"/>
    </row>
    <row r="62749" spans="3:13" ht="12.75" customHeight="1" x14ac:dyDescent="0.2">
      <c r="C62749"/>
      <c r="M62749"/>
    </row>
    <row r="62750" spans="3:13" ht="12.75" customHeight="1" x14ac:dyDescent="0.2">
      <c r="C62750"/>
      <c r="M62750"/>
    </row>
    <row r="62751" spans="3:13" ht="12.75" customHeight="1" x14ac:dyDescent="0.2">
      <c r="C62751"/>
      <c r="M62751"/>
    </row>
    <row r="62752" spans="3:13" ht="12.75" customHeight="1" x14ac:dyDescent="0.2">
      <c r="C62752"/>
      <c r="M62752"/>
    </row>
    <row r="62753" spans="3:13" ht="12.75" customHeight="1" x14ac:dyDescent="0.2">
      <c r="C62753"/>
      <c r="M62753"/>
    </row>
    <row r="62754" spans="3:13" ht="12.75" customHeight="1" x14ac:dyDescent="0.2">
      <c r="C62754"/>
      <c r="M62754"/>
    </row>
    <row r="62755" spans="3:13" ht="12.75" customHeight="1" x14ac:dyDescent="0.2">
      <c r="C62755"/>
      <c r="M62755"/>
    </row>
    <row r="62756" spans="3:13" ht="12.75" customHeight="1" x14ac:dyDescent="0.2">
      <c r="C62756"/>
      <c r="M62756"/>
    </row>
    <row r="62757" spans="3:13" ht="12.75" customHeight="1" x14ac:dyDescent="0.2">
      <c r="C62757"/>
      <c r="M62757"/>
    </row>
    <row r="62758" spans="3:13" ht="12.75" customHeight="1" x14ac:dyDescent="0.2">
      <c r="C62758"/>
      <c r="M62758"/>
    </row>
    <row r="62759" spans="3:13" ht="12.75" customHeight="1" x14ac:dyDescent="0.2">
      <c r="C62759"/>
      <c r="M62759"/>
    </row>
    <row r="62760" spans="3:13" ht="12.75" customHeight="1" x14ac:dyDescent="0.2">
      <c r="C62760"/>
      <c r="M62760"/>
    </row>
    <row r="62761" spans="3:13" ht="12.75" customHeight="1" x14ac:dyDescent="0.2">
      <c r="C62761"/>
      <c r="M62761"/>
    </row>
    <row r="62762" spans="3:13" ht="12.75" customHeight="1" x14ac:dyDescent="0.2">
      <c r="C62762"/>
      <c r="M62762"/>
    </row>
    <row r="62763" spans="3:13" ht="12.75" customHeight="1" x14ac:dyDescent="0.2">
      <c r="C62763"/>
      <c r="M62763"/>
    </row>
    <row r="62764" spans="3:13" ht="12.75" customHeight="1" x14ac:dyDescent="0.2">
      <c r="C62764"/>
      <c r="M62764"/>
    </row>
    <row r="62765" spans="3:13" ht="12.75" customHeight="1" x14ac:dyDescent="0.2">
      <c r="C62765"/>
      <c r="M62765"/>
    </row>
    <row r="62766" spans="3:13" ht="12.75" customHeight="1" x14ac:dyDescent="0.2">
      <c r="C62766"/>
      <c r="M62766"/>
    </row>
    <row r="62767" spans="3:13" ht="12.75" customHeight="1" x14ac:dyDescent="0.2">
      <c r="C62767"/>
      <c r="M62767"/>
    </row>
    <row r="62768" spans="3:13" ht="12.75" customHeight="1" x14ac:dyDescent="0.2">
      <c r="C62768"/>
      <c r="M62768"/>
    </row>
    <row r="62769" spans="3:13" ht="12.75" customHeight="1" x14ac:dyDescent="0.2">
      <c r="C62769"/>
      <c r="M62769"/>
    </row>
    <row r="62770" spans="3:13" ht="12.75" customHeight="1" x14ac:dyDescent="0.2">
      <c r="C62770"/>
      <c r="M62770"/>
    </row>
    <row r="62771" spans="3:13" ht="12.75" customHeight="1" x14ac:dyDescent="0.2">
      <c r="C62771"/>
      <c r="M62771"/>
    </row>
    <row r="62772" spans="3:13" ht="12.75" customHeight="1" x14ac:dyDescent="0.2">
      <c r="C62772"/>
      <c r="M62772"/>
    </row>
    <row r="62773" spans="3:13" ht="12.75" customHeight="1" x14ac:dyDescent="0.2">
      <c r="C62773"/>
      <c r="M62773"/>
    </row>
    <row r="62774" spans="3:13" ht="12.75" customHeight="1" x14ac:dyDescent="0.2">
      <c r="C62774"/>
      <c r="M62774"/>
    </row>
    <row r="62775" spans="3:13" ht="12.75" customHeight="1" x14ac:dyDescent="0.2">
      <c r="C62775"/>
      <c r="M62775"/>
    </row>
    <row r="62776" spans="3:13" ht="12.75" customHeight="1" x14ac:dyDescent="0.2">
      <c r="C62776"/>
      <c r="M62776"/>
    </row>
    <row r="62777" spans="3:13" ht="12.75" customHeight="1" x14ac:dyDescent="0.2">
      <c r="C62777"/>
      <c r="M62777"/>
    </row>
    <row r="62778" spans="3:13" ht="12.75" customHeight="1" x14ac:dyDescent="0.2">
      <c r="C62778"/>
      <c r="M62778"/>
    </row>
    <row r="62779" spans="3:13" ht="12.75" customHeight="1" x14ac:dyDescent="0.2">
      <c r="C62779"/>
      <c r="M62779"/>
    </row>
    <row r="62780" spans="3:13" ht="12.75" customHeight="1" x14ac:dyDescent="0.2">
      <c r="C62780"/>
      <c r="M62780"/>
    </row>
    <row r="62781" spans="3:13" ht="12.75" customHeight="1" x14ac:dyDescent="0.2">
      <c r="C62781"/>
      <c r="M62781"/>
    </row>
    <row r="62782" spans="3:13" ht="12.75" customHeight="1" x14ac:dyDescent="0.2">
      <c r="C62782"/>
      <c r="M62782"/>
    </row>
    <row r="62783" spans="3:13" ht="12.75" customHeight="1" x14ac:dyDescent="0.2">
      <c r="C62783"/>
      <c r="M62783"/>
    </row>
    <row r="62784" spans="3:13" ht="12.75" customHeight="1" x14ac:dyDescent="0.2">
      <c r="C62784"/>
      <c r="M62784"/>
    </row>
    <row r="62785" spans="3:13" ht="12.75" customHeight="1" x14ac:dyDescent="0.2">
      <c r="C62785"/>
      <c r="M62785"/>
    </row>
    <row r="62786" spans="3:13" ht="12.75" customHeight="1" x14ac:dyDescent="0.2">
      <c r="C62786"/>
      <c r="M62786"/>
    </row>
    <row r="62787" spans="3:13" ht="12.75" customHeight="1" x14ac:dyDescent="0.2">
      <c r="C62787"/>
      <c r="M62787"/>
    </row>
    <row r="62788" spans="3:13" ht="12.75" customHeight="1" x14ac:dyDescent="0.2">
      <c r="C62788"/>
      <c r="M62788"/>
    </row>
    <row r="62789" spans="3:13" ht="12.75" customHeight="1" x14ac:dyDescent="0.2">
      <c r="C62789"/>
      <c r="M62789"/>
    </row>
    <row r="62790" spans="3:13" ht="12.75" customHeight="1" x14ac:dyDescent="0.2">
      <c r="C62790"/>
      <c r="M62790"/>
    </row>
    <row r="62791" spans="3:13" ht="12.75" customHeight="1" x14ac:dyDescent="0.2">
      <c r="C62791"/>
      <c r="M62791"/>
    </row>
    <row r="62792" spans="3:13" ht="12.75" customHeight="1" x14ac:dyDescent="0.2">
      <c r="C62792"/>
      <c r="M62792"/>
    </row>
    <row r="62793" spans="3:13" ht="12.75" customHeight="1" x14ac:dyDescent="0.2">
      <c r="C62793"/>
      <c r="M62793"/>
    </row>
    <row r="62794" spans="3:13" ht="12.75" customHeight="1" x14ac:dyDescent="0.2">
      <c r="C62794"/>
      <c r="M62794"/>
    </row>
    <row r="62795" spans="3:13" ht="12.75" customHeight="1" x14ac:dyDescent="0.2">
      <c r="C62795"/>
      <c r="M62795"/>
    </row>
    <row r="62796" spans="3:13" ht="12.75" customHeight="1" x14ac:dyDescent="0.2">
      <c r="C62796"/>
      <c r="M62796"/>
    </row>
    <row r="62797" spans="3:13" ht="12.75" customHeight="1" x14ac:dyDescent="0.2">
      <c r="C62797"/>
      <c r="M62797"/>
    </row>
    <row r="62798" spans="3:13" ht="12.75" customHeight="1" x14ac:dyDescent="0.2">
      <c r="C62798"/>
      <c r="M62798"/>
    </row>
    <row r="62799" spans="3:13" ht="12.75" customHeight="1" x14ac:dyDescent="0.2">
      <c r="C62799"/>
      <c r="M62799"/>
    </row>
    <row r="62800" spans="3:13" ht="12.75" customHeight="1" x14ac:dyDescent="0.2">
      <c r="C62800"/>
      <c r="M62800"/>
    </row>
    <row r="62801" spans="3:13" ht="12.75" customHeight="1" x14ac:dyDescent="0.2">
      <c r="C62801"/>
      <c r="M62801"/>
    </row>
    <row r="62802" spans="3:13" ht="12.75" customHeight="1" x14ac:dyDescent="0.2">
      <c r="C62802"/>
      <c r="M62802"/>
    </row>
    <row r="62803" spans="3:13" ht="12.75" customHeight="1" x14ac:dyDescent="0.2">
      <c r="C62803"/>
      <c r="M62803"/>
    </row>
    <row r="62804" spans="3:13" ht="12.75" customHeight="1" x14ac:dyDescent="0.2">
      <c r="C62804"/>
      <c r="M62804"/>
    </row>
    <row r="62805" spans="3:13" ht="12.75" customHeight="1" x14ac:dyDescent="0.2">
      <c r="C62805"/>
      <c r="M62805"/>
    </row>
    <row r="62806" spans="3:13" ht="12.75" customHeight="1" x14ac:dyDescent="0.2">
      <c r="C62806"/>
      <c r="M62806"/>
    </row>
    <row r="62807" spans="3:13" ht="12.75" customHeight="1" x14ac:dyDescent="0.2">
      <c r="C62807"/>
      <c r="M62807"/>
    </row>
    <row r="62808" spans="3:13" ht="12.75" customHeight="1" x14ac:dyDescent="0.2">
      <c r="C62808"/>
      <c r="M62808"/>
    </row>
    <row r="62809" spans="3:13" ht="12.75" customHeight="1" x14ac:dyDescent="0.2">
      <c r="C62809"/>
      <c r="M62809"/>
    </row>
    <row r="62810" spans="3:13" ht="12.75" customHeight="1" x14ac:dyDescent="0.2">
      <c r="C62810"/>
      <c r="M62810"/>
    </row>
    <row r="62811" spans="3:13" ht="12.75" customHeight="1" x14ac:dyDescent="0.2">
      <c r="C62811"/>
      <c r="M62811"/>
    </row>
    <row r="62812" spans="3:13" ht="12.75" customHeight="1" x14ac:dyDescent="0.2">
      <c r="C62812"/>
      <c r="M62812"/>
    </row>
    <row r="62813" spans="3:13" ht="12.75" customHeight="1" x14ac:dyDescent="0.2">
      <c r="C62813"/>
      <c r="M62813"/>
    </row>
    <row r="62814" spans="3:13" ht="12.75" customHeight="1" x14ac:dyDescent="0.2">
      <c r="C62814"/>
      <c r="M62814"/>
    </row>
    <row r="62815" spans="3:13" ht="12.75" customHeight="1" x14ac:dyDescent="0.2">
      <c r="C62815"/>
      <c r="M62815"/>
    </row>
    <row r="62816" spans="3:13" ht="12.75" customHeight="1" x14ac:dyDescent="0.2">
      <c r="C62816"/>
      <c r="M62816"/>
    </row>
    <row r="62817" spans="3:13" ht="12.75" customHeight="1" x14ac:dyDescent="0.2">
      <c r="C62817"/>
      <c r="M62817"/>
    </row>
    <row r="62818" spans="3:13" ht="12.75" customHeight="1" x14ac:dyDescent="0.2">
      <c r="C62818"/>
      <c r="M62818"/>
    </row>
    <row r="62819" spans="3:13" ht="12.75" customHeight="1" x14ac:dyDescent="0.2">
      <c r="C62819"/>
      <c r="M62819"/>
    </row>
    <row r="62820" spans="3:13" ht="12.75" customHeight="1" x14ac:dyDescent="0.2">
      <c r="C62820"/>
      <c r="M62820"/>
    </row>
    <row r="62821" spans="3:13" ht="12.75" customHeight="1" x14ac:dyDescent="0.2">
      <c r="C62821"/>
      <c r="M62821"/>
    </row>
    <row r="62822" spans="3:13" ht="12.75" customHeight="1" x14ac:dyDescent="0.2">
      <c r="C62822"/>
      <c r="M62822"/>
    </row>
    <row r="62823" spans="3:13" ht="12.75" customHeight="1" x14ac:dyDescent="0.2">
      <c r="C62823"/>
      <c r="M62823"/>
    </row>
    <row r="62824" spans="3:13" ht="12.75" customHeight="1" x14ac:dyDescent="0.2">
      <c r="C62824"/>
      <c r="M62824"/>
    </row>
    <row r="62825" spans="3:13" ht="12.75" customHeight="1" x14ac:dyDescent="0.2">
      <c r="C62825"/>
      <c r="M62825"/>
    </row>
    <row r="62826" spans="3:13" ht="12.75" customHeight="1" x14ac:dyDescent="0.2">
      <c r="C62826"/>
      <c r="M62826"/>
    </row>
    <row r="62827" spans="3:13" ht="12.75" customHeight="1" x14ac:dyDescent="0.2">
      <c r="C62827"/>
      <c r="M62827"/>
    </row>
    <row r="62828" spans="3:13" ht="12.75" customHeight="1" x14ac:dyDescent="0.2">
      <c r="C62828"/>
      <c r="M62828"/>
    </row>
    <row r="62829" spans="3:13" ht="12.75" customHeight="1" x14ac:dyDescent="0.2">
      <c r="C62829"/>
      <c r="M62829"/>
    </row>
    <row r="62830" spans="3:13" ht="12.75" customHeight="1" x14ac:dyDescent="0.2">
      <c r="C62830"/>
      <c r="M62830"/>
    </row>
    <row r="62831" spans="3:13" ht="12.75" customHeight="1" x14ac:dyDescent="0.2">
      <c r="C62831"/>
      <c r="M62831"/>
    </row>
    <row r="62832" spans="3:13" ht="12.75" customHeight="1" x14ac:dyDescent="0.2">
      <c r="C62832"/>
      <c r="M62832"/>
    </row>
    <row r="62833" spans="3:13" ht="12.75" customHeight="1" x14ac:dyDescent="0.2">
      <c r="C62833"/>
      <c r="M62833"/>
    </row>
    <row r="62834" spans="3:13" ht="12.75" customHeight="1" x14ac:dyDescent="0.2">
      <c r="C62834"/>
      <c r="M62834"/>
    </row>
    <row r="62835" spans="3:13" ht="12.75" customHeight="1" x14ac:dyDescent="0.2">
      <c r="C62835"/>
      <c r="M62835"/>
    </row>
    <row r="62836" spans="3:13" ht="12.75" customHeight="1" x14ac:dyDescent="0.2">
      <c r="C62836"/>
      <c r="M62836"/>
    </row>
    <row r="62837" spans="3:13" ht="12.75" customHeight="1" x14ac:dyDescent="0.2">
      <c r="C62837"/>
      <c r="M62837"/>
    </row>
    <row r="62838" spans="3:13" ht="12.75" customHeight="1" x14ac:dyDescent="0.2">
      <c r="C62838"/>
      <c r="M62838"/>
    </row>
    <row r="62839" spans="3:13" ht="12.75" customHeight="1" x14ac:dyDescent="0.2">
      <c r="C62839"/>
      <c r="M62839"/>
    </row>
    <row r="62840" spans="3:13" ht="12.75" customHeight="1" x14ac:dyDescent="0.2">
      <c r="C62840"/>
      <c r="M62840"/>
    </row>
    <row r="62841" spans="3:13" ht="12.75" customHeight="1" x14ac:dyDescent="0.2">
      <c r="C62841"/>
      <c r="M62841"/>
    </row>
    <row r="62842" spans="3:13" ht="12.75" customHeight="1" x14ac:dyDescent="0.2">
      <c r="C62842"/>
      <c r="M62842"/>
    </row>
    <row r="62843" spans="3:13" ht="12.75" customHeight="1" x14ac:dyDescent="0.2">
      <c r="C62843"/>
      <c r="M62843"/>
    </row>
    <row r="62844" spans="3:13" ht="12.75" customHeight="1" x14ac:dyDescent="0.2">
      <c r="C62844"/>
      <c r="M62844"/>
    </row>
    <row r="62845" spans="3:13" ht="12.75" customHeight="1" x14ac:dyDescent="0.2">
      <c r="C62845"/>
      <c r="M62845"/>
    </row>
    <row r="62846" spans="3:13" ht="12.75" customHeight="1" x14ac:dyDescent="0.2">
      <c r="C62846"/>
      <c r="M62846"/>
    </row>
    <row r="62847" spans="3:13" ht="12.75" customHeight="1" x14ac:dyDescent="0.2">
      <c r="C62847"/>
      <c r="M62847"/>
    </row>
    <row r="62848" spans="3:13" ht="12.75" customHeight="1" x14ac:dyDescent="0.2">
      <c r="C62848"/>
      <c r="M62848"/>
    </row>
    <row r="62849" spans="3:13" ht="12.75" customHeight="1" x14ac:dyDescent="0.2">
      <c r="C62849"/>
      <c r="M62849"/>
    </row>
    <row r="62850" spans="3:13" ht="12.75" customHeight="1" x14ac:dyDescent="0.2">
      <c r="C62850"/>
      <c r="M62850"/>
    </row>
    <row r="62851" spans="3:13" ht="12.75" customHeight="1" x14ac:dyDescent="0.2">
      <c r="C62851"/>
      <c r="M62851"/>
    </row>
    <row r="62852" spans="3:13" ht="12.75" customHeight="1" x14ac:dyDescent="0.2">
      <c r="C62852"/>
      <c r="M62852"/>
    </row>
    <row r="62853" spans="3:13" ht="12.75" customHeight="1" x14ac:dyDescent="0.2">
      <c r="C62853"/>
      <c r="M62853"/>
    </row>
    <row r="62854" spans="3:13" ht="12.75" customHeight="1" x14ac:dyDescent="0.2">
      <c r="C62854"/>
      <c r="M62854"/>
    </row>
    <row r="62855" spans="3:13" ht="12.75" customHeight="1" x14ac:dyDescent="0.2">
      <c r="C62855"/>
      <c r="M62855"/>
    </row>
    <row r="62856" spans="3:13" ht="12.75" customHeight="1" x14ac:dyDescent="0.2">
      <c r="C62856"/>
      <c r="M62856"/>
    </row>
    <row r="62857" spans="3:13" ht="12.75" customHeight="1" x14ac:dyDescent="0.2">
      <c r="C62857"/>
      <c r="M62857"/>
    </row>
    <row r="62858" spans="3:13" ht="12.75" customHeight="1" x14ac:dyDescent="0.2">
      <c r="C62858"/>
      <c r="M62858"/>
    </row>
    <row r="62859" spans="3:13" ht="12.75" customHeight="1" x14ac:dyDescent="0.2">
      <c r="C62859"/>
      <c r="M62859"/>
    </row>
    <row r="62860" spans="3:13" ht="12.75" customHeight="1" x14ac:dyDescent="0.2">
      <c r="C62860"/>
      <c r="M62860"/>
    </row>
    <row r="62861" spans="3:13" ht="12.75" customHeight="1" x14ac:dyDescent="0.2">
      <c r="C62861"/>
      <c r="M62861"/>
    </row>
    <row r="62862" spans="3:13" ht="12.75" customHeight="1" x14ac:dyDescent="0.2">
      <c r="C62862"/>
      <c r="M62862"/>
    </row>
    <row r="62863" spans="3:13" ht="12.75" customHeight="1" x14ac:dyDescent="0.2">
      <c r="C62863"/>
      <c r="M62863"/>
    </row>
    <row r="62864" spans="3:13" ht="12.75" customHeight="1" x14ac:dyDescent="0.2">
      <c r="C62864"/>
      <c r="M62864"/>
    </row>
    <row r="62865" spans="3:13" ht="12.75" customHeight="1" x14ac:dyDescent="0.2">
      <c r="C62865"/>
      <c r="M62865"/>
    </row>
    <row r="62866" spans="3:13" ht="12.75" customHeight="1" x14ac:dyDescent="0.2">
      <c r="C62866"/>
      <c r="M62866"/>
    </row>
    <row r="62867" spans="3:13" ht="12.75" customHeight="1" x14ac:dyDescent="0.2">
      <c r="C62867"/>
      <c r="M62867"/>
    </row>
    <row r="62868" spans="3:13" ht="12.75" customHeight="1" x14ac:dyDescent="0.2">
      <c r="C62868"/>
      <c r="M62868"/>
    </row>
    <row r="62869" spans="3:13" ht="12.75" customHeight="1" x14ac:dyDescent="0.2">
      <c r="C62869"/>
      <c r="M62869"/>
    </row>
    <row r="62870" spans="3:13" ht="12.75" customHeight="1" x14ac:dyDescent="0.2">
      <c r="C62870"/>
      <c r="M62870"/>
    </row>
    <row r="62871" spans="3:13" ht="12.75" customHeight="1" x14ac:dyDescent="0.2">
      <c r="C62871"/>
      <c r="M62871"/>
    </row>
    <row r="62872" spans="3:13" ht="12.75" customHeight="1" x14ac:dyDescent="0.2">
      <c r="C62872"/>
      <c r="M62872"/>
    </row>
    <row r="62873" spans="3:13" ht="12.75" customHeight="1" x14ac:dyDescent="0.2">
      <c r="C62873"/>
      <c r="M62873"/>
    </row>
    <row r="62874" spans="3:13" ht="12.75" customHeight="1" x14ac:dyDescent="0.2">
      <c r="C62874"/>
      <c r="M62874"/>
    </row>
    <row r="62875" spans="3:13" ht="12.75" customHeight="1" x14ac:dyDescent="0.2">
      <c r="C62875"/>
      <c r="M62875"/>
    </row>
    <row r="62876" spans="3:13" ht="12.75" customHeight="1" x14ac:dyDescent="0.2">
      <c r="C62876"/>
      <c r="M62876"/>
    </row>
    <row r="62877" spans="3:13" ht="12.75" customHeight="1" x14ac:dyDescent="0.2">
      <c r="C62877"/>
      <c r="M62877"/>
    </row>
    <row r="62878" spans="3:13" ht="12.75" customHeight="1" x14ac:dyDescent="0.2">
      <c r="C62878"/>
      <c r="M62878"/>
    </row>
    <row r="62879" spans="3:13" ht="12.75" customHeight="1" x14ac:dyDescent="0.2">
      <c r="C62879"/>
      <c r="M62879"/>
    </row>
    <row r="62880" spans="3:13" ht="12.75" customHeight="1" x14ac:dyDescent="0.2">
      <c r="C62880"/>
      <c r="M62880"/>
    </row>
    <row r="62881" spans="3:13" ht="12.75" customHeight="1" x14ac:dyDescent="0.2">
      <c r="C62881"/>
      <c r="M62881"/>
    </row>
    <row r="62882" spans="3:13" ht="12.75" customHeight="1" x14ac:dyDescent="0.2">
      <c r="C62882"/>
      <c r="M62882"/>
    </row>
    <row r="62883" spans="3:13" ht="12.75" customHeight="1" x14ac:dyDescent="0.2">
      <c r="C62883"/>
      <c r="M62883"/>
    </row>
    <row r="62884" spans="3:13" ht="12.75" customHeight="1" x14ac:dyDescent="0.2">
      <c r="C62884"/>
      <c r="M62884"/>
    </row>
    <row r="62885" spans="3:13" ht="12.75" customHeight="1" x14ac:dyDescent="0.2">
      <c r="C62885"/>
      <c r="M62885"/>
    </row>
    <row r="62886" spans="3:13" ht="12.75" customHeight="1" x14ac:dyDescent="0.2">
      <c r="C62886"/>
      <c r="M62886"/>
    </row>
    <row r="62887" spans="3:13" ht="12.75" customHeight="1" x14ac:dyDescent="0.2">
      <c r="C62887"/>
      <c r="M62887"/>
    </row>
    <row r="62888" spans="3:13" ht="12.75" customHeight="1" x14ac:dyDescent="0.2">
      <c r="C62888"/>
      <c r="M62888"/>
    </row>
    <row r="62889" spans="3:13" ht="12.75" customHeight="1" x14ac:dyDescent="0.2">
      <c r="C62889"/>
      <c r="M62889"/>
    </row>
    <row r="62890" spans="3:13" ht="12.75" customHeight="1" x14ac:dyDescent="0.2">
      <c r="C62890"/>
      <c r="M62890"/>
    </row>
    <row r="62891" spans="3:13" ht="12.75" customHeight="1" x14ac:dyDescent="0.2">
      <c r="C62891"/>
      <c r="M62891"/>
    </row>
    <row r="62892" spans="3:13" ht="12.75" customHeight="1" x14ac:dyDescent="0.2">
      <c r="C62892"/>
      <c r="M62892"/>
    </row>
    <row r="62893" spans="3:13" ht="12.75" customHeight="1" x14ac:dyDescent="0.2">
      <c r="C62893"/>
      <c r="M62893"/>
    </row>
    <row r="62894" spans="3:13" ht="12.75" customHeight="1" x14ac:dyDescent="0.2">
      <c r="C62894"/>
      <c r="M62894"/>
    </row>
    <row r="62895" spans="3:13" ht="12.75" customHeight="1" x14ac:dyDescent="0.2">
      <c r="C62895"/>
      <c r="M62895"/>
    </row>
    <row r="62896" spans="3:13" ht="12.75" customHeight="1" x14ac:dyDescent="0.2">
      <c r="C62896"/>
      <c r="M62896"/>
    </row>
    <row r="62897" spans="3:13" ht="12.75" customHeight="1" x14ac:dyDescent="0.2">
      <c r="C62897"/>
      <c r="M62897"/>
    </row>
    <row r="62898" spans="3:13" ht="12.75" customHeight="1" x14ac:dyDescent="0.2">
      <c r="C62898"/>
      <c r="M62898"/>
    </row>
    <row r="62899" spans="3:13" ht="12.75" customHeight="1" x14ac:dyDescent="0.2">
      <c r="C62899"/>
      <c r="M62899"/>
    </row>
    <row r="62900" spans="3:13" ht="12.75" customHeight="1" x14ac:dyDescent="0.2">
      <c r="C62900"/>
      <c r="M62900"/>
    </row>
    <row r="62901" spans="3:13" ht="12.75" customHeight="1" x14ac:dyDescent="0.2">
      <c r="C62901"/>
      <c r="M62901"/>
    </row>
    <row r="62902" spans="3:13" ht="12.75" customHeight="1" x14ac:dyDescent="0.2">
      <c r="C62902"/>
      <c r="M62902"/>
    </row>
    <row r="62903" spans="3:13" ht="12.75" customHeight="1" x14ac:dyDescent="0.2">
      <c r="C62903"/>
      <c r="M62903"/>
    </row>
    <row r="62904" spans="3:13" ht="12.75" customHeight="1" x14ac:dyDescent="0.2">
      <c r="C62904"/>
      <c r="M62904"/>
    </row>
    <row r="62905" spans="3:13" ht="12.75" customHeight="1" x14ac:dyDescent="0.2">
      <c r="C62905"/>
      <c r="M62905"/>
    </row>
    <row r="62906" spans="3:13" ht="12.75" customHeight="1" x14ac:dyDescent="0.2">
      <c r="C62906"/>
      <c r="M62906"/>
    </row>
    <row r="62907" spans="3:13" ht="12.75" customHeight="1" x14ac:dyDescent="0.2">
      <c r="C62907"/>
      <c r="M62907"/>
    </row>
    <row r="62908" spans="3:13" ht="12.75" customHeight="1" x14ac:dyDescent="0.2">
      <c r="C62908"/>
      <c r="M62908"/>
    </row>
    <row r="62909" spans="3:13" ht="12.75" customHeight="1" x14ac:dyDescent="0.2">
      <c r="C62909"/>
      <c r="M62909"/>
    </row>
    <row r="62910" spans="3:13" ht="12.75" customHeight="1" x14ac:dyDescent="0.2">
      <c r="C62910"/>
      <c r="M62910"/>
    </row>
    <row r="62911" spans="3:13" ht="12.75" customHeight="1" x14ac:dyDescent="0.2">
      <c r="C62911"/>
      <c r="M62911"/>
    </row>
    <row r="62912" spans="3:13" ht="12.75" customHeight="1" x14ac:dyDescent="0.2">
      <c r="C62912"/>
      <c r="M62912"/>
    </row>
    <row r="62913" spans="3:13" ht="12.75" customHeight="1" x14ac:dyDescent="0.2">
      <c r="C62913"/>
      <c r="M62913"/>
    </row>
    <row r="62914" spans="3:13" ht="12.75" customHeight="1" x14ac:dyDescent="0.2">
      <c r="C62914"/>
      <c r="M62914"/>
    </row>
    <row r="62915" spans="3:13" ht="12.75" customHeight="1" x14ac:dyDescent="0.2">
      <c r="C62915"/>
      <c r="M62915"/>
    </row>
    <row r="62916" spans="3:13" ht="12.75" customHeight="1" x14ac:dyDescent="0.2">
      <c r="C62916"/>
      <c r="M62916"/>
    </row>
    <row r="62917" spans="3:13" ht="12.75" customHeight="1" x14ac:dyDescent="0.2">
      <c r="C62917"/>
      <c r="M62917"/>
    </row>
    <row r="62918" spans="3:13" ht="12.75" customHeight="1" x14ac:dyDescent="0.2">
      <c r="C62918"/>
      <c r="M62918"/>
    </row>
    <row r="62919" spans="3:13" ht="12.75" customHeight="1" x14ac:dyDescent="0.2">
      <c r="C62919"/>
      <c r="M62919"/>
    </row>
    <row r="62920" spans="3:13" ht="12.75" customHeight="1" x14ac:dyDescent="0.2">
      <c r="C62920"/>
      <c r="M62920"/>
    </row>
    <row r="62921" spans="3:13" ht="12.75" customHeight="1" x14ac:dyDescent="0.2">
      <c r="C62921"/>
      <c r="M62921"/>
    </row>
    <row r="62922" spans="3:13" ht="12.75" customHeight="1" x14ac:dyDescent="0.2">
      <c r="C62922"/>
      <c r="M62922"/>
    </row>
    <row r="62923" spans="3:13" ht="12.75" customHeight="1" x14ac:dyDescent="0.2">
      <c r="C62923"/>
      <c r="M62923"/>
    </row>
    <row r="62924" spans="3:13" ht="12.75" customHeight="1" x14ac:dyDescent="0.2">
      <c r="C62924"/>
      <c r="M62924"/>
    </row>
    <row r="62925" spans="3:13" ht="12.75" customHeight="1" x14ac:dyDescent="0.2">
      <c r="C62925"/>
      <c r="M62925"/>
    </row>
    <row r="62926" spans="3:13" ht="12.75" customHeight="1" x14ac:dyDescent="0.2">
      <c r="C62926"/>
      <c r="M62926"/>
    </row>
    <row r="62927" spans="3:13" ht="12.75" customHeight="1" x14ac:dyDescent="0.2">
      <c r="C62927"/>
      <c r="M62927"/>
    </row>
    <row r="62928" spans="3:13" ht="12.75" customHeight="1" x14ac:dyDescent="0.2">
      <c r="C62928"/>
      <c r="M62928"/>
    </row>
    <row r="62929" spans="3:13" ht="12.75" customHeight="1" x14ac:dyDescent="0.2">
      <c r="C62929"/>
      <c r="M62929"/>
    </row>
    <row r="62930" spans="3:13" ht="12.75" customHeight="1" x14ac:dyDescent="0.2">
      <c r="C62930"/>
      <c r="M62930"/>
    </row>
    <row r="62931" spans="3:13" ht="12.75" customHeight="1" x14ac:dyDescent="0.2">
      <c r="C62931"/>
      <c r="M62931"/>
    </row>
    <row r="62932" spans="3:13" ht="12.75" customHeight="1" x14ac:dyDescent="0.2">
      <c r="C62932"/>
      <c r="M62932"/>
    </row>
    <row r="62933" spans="3:13" ht="12.75" customHeight="1" x14ac:dyDescent="0.2">
      <c r="C62933"/>
      <c r="M62933"/>
    </row>
    <row r="62934" spans="3:13" ht="12.75" customHeight="1" x14ac:dyDescent="0.2">
      <c r="C62934"/>
      <c r="M62934"/>
    </row>
    <row r="62935" spans="3:13" ht="12.75" customHeight="1" x14ac:dyDescent="0.2">
      <c r="C62935"/>
      <c r="M62935"/>
    </row>
    <row r="62936" spans="3:13" ht="12.75" customHeight="1" x14ac:dyDescent="0.2">
      <c r="C62936"/>
      <c r="M62936"/>
    </row>
    <row r="62937" spans="3:13" ht="12.75" customHeight="1" x14ac:dyDescent="0.2">
      <c r="C62937"/>
      <c r="M62937"/>
    </row>
    <row r="62938" spans="3:13" ht="12.75" customHeight="1" x14ac:dyDescent="0.2">
      <c r="C62938"/>
      <c r="M62938"/>
    </row>
    <row r="62939" spans="3:13" ht="12.75" customHeight="1" x14ac:dyDescent="0.2">
      <c r="C62939"/>
      <c r="M62939"/>
    </row>
    <row r="62940" spans="3:13" ht="12.75" customHeight="1" x14ac:dyDescent="0.2">
      <c r="C62940"/>
      <c r="M62940"/>
    </row>
    <row r="62941" spans="3:13" ht="12.75" customHeight="1" x14ac:dyDescent="0.2">
      <c r="C62941"/>
      <c r="M62941"/>
    </row>
    <row r="62942" spans="3:13" ht="12.75" customHeight="1" x14ac:dyDescent="0.2">
      <c r="C62942"/>
      <c r="M62942"/>
    </row>
    <row r="62943" spans="3:13" ht="12.75" customHeight="1" x14ac:dyDescent="0.2">
      <c r="C62943"/>
      <c r="M62943"/>
    </row>
    <row r="62944" spans="3:13" ht="12.75" customHeight="1" x14ac:dyDescent="0.2">
      <c r="C62944"/>
      <c r="M62944"/>
    </row>
    <row r="62945" spans="3:13" ht="12.75" customHeight="1" x14ac:dyDescent="0.2">
      <c r="C62945"/>
      <c r="M62945"/>
    </row>
    <row r="62946" spans="3:13" ht="12.75" customHeight="1" x14ac:dyDescent="0.2">
      <c r="C62946"/>
      <c r="M62946"/>
    </row>
    <row r="62947" spans="3:13" ht="12.75" customHeight="1" x14ac:dyDescent="0.2">
      <c r="C62947"/>
      <c r="M62947"/>
    </row>
    <row r="62948" spans="3:13" ht="12.75" customHeight="1" x14ac:dyDescent="0.2">
      <c r="C62948"/>
      <c r="M62948"/>
    </row>
    <row r="62949" spans="3:13" ht="12.75" customHeight="1" x14ac:dyDescent="0.2">
      <c r="C62949"/>
      <c r="M62949"/>
    </row>
    <row r="62950" spans="3:13" ht="12.75" customHeight="1" x14ac:dyDescent="0.2">
      <c r="C62950"/>
      <c r="M62950"/>
    </row>
    <row r="62951" spans="3:13" ht="12.75" customHeight="1" x14ac:dyDescent="0.2">
      <c r="C62951"/>
      <c r="M62951"/>
    </row>
    <row r="62952" spans="3:13" ht="12.75" customHeight="1" x14ac:dyDescent="0.2">
      <c r="C62952"/>
      <c r="M62952"/>
    </row>
    <row r="62953" spans="3:13" ht="12.75" customHeight="1" x14ac:dyDescent="0.2">
      <c r="C62953"/>
      <c r="M62953"/>
    </row>
    <row r="62954" spans="3:13" ht="12.75" customHeight="1" x14ac:dyDescent="0.2">
      <c r="C62954"/>
      <c r="M62954"/>
    </row>
    <row r="62955" spans="3:13" ht="12.75" customHeight="1" x14ac:dyDescent="0.2">
      <c r="C62955"/>
      <c r="M62955"/>
    </row>
    <row r="62956" spans="3:13" ht="12.75" customHeight="1" x14ac:dyDescent="0.2">
      <c r="C62956"/>
      <c r="M62956"/>
    </row>
    <row r="62957" spans="3:13" ht="12.75" customHeight="1" x14ac:dyDescent="0.2">
      <c r="C62957"/>
      <c r="M62957"/>
    </row>
    <row r="62958" spans="3:13" ht="12.75" customHeight="1" x14ac:dyDescent="0.2">
      <c r="C62958"/>
      <c r="M62958"/>
    </row>
    <row r="62959" spans="3:13" ht="12.75" customHeight="1" x14ac:dyDescent="0.2">
      <c r="C62959"/>
      <c r="M62959"/>
    </row>
    <row r="62960" spans="3:13" ht="12.75" customHeight="1" x14ac:dyDescent="0.2">
      <c r="C62960"/>
      <c r="M62960"/>
    </row>
    <row r="62961" spans="3:13" ht="12.75" customHeight="1" x14ac:dyDescent="0.2">
      <c r="C62961"/>
      <c r="M62961"/>
    </row>
    <row r="62962" spans="3:13" ht="12.75" customHeight="1" x14ac:dyDescent="0.2">
      <c r="C62962"/>
      <c r="M62962"/>
    </row>
    <row r="62963" spans="3:13" ht="12.75" customHeight="1" x14ac:dyDescent="0.2">
      <c r="C62963"/>
      <c r="M62963"/>
    </row>
    <row r="62964" spans="3:13" ht="12.75" customHeight="1" x14ac:dyDescent="0.2">
      <c r="C62964"/>
      <c r="M62964"/>
    </row>
    <row r="62965" spans="3:13" ht="12.75" customHeight="1" x14ac:dyDescent="0.2">
      <c r="C62965"/>
      <c r="M62965"/>
    </row>
    <row r="62966" spans="3:13" ht="12.75" customHeight="1" x14ac:dyDescent="0.2">
      <c r="C62966"/>
      <c r="M62966"/>
    </row>
    <row r="62967" spans="3:13" ht="12.75" customHeight="1" x14ac:dyDescent="0.2">
      <c r="C62967"/>
      <c r="M62967"/>
    </row>
    <row r="62968" spans="3:13" ht="12.75" customHeight="1" x14ac:dyDescent="0.2">
      <c r="C62968"/>
      <c r="M62968"/>
    </row>
    <row r="62969" spans="3:13" ht="12.75" customHeight="1" x14ac:dyDescent="0.2">
      <c r="C62969"/>
      <c r="M62969"/>
    </row>
    <row r="62970" spans="3:13" ht="12.75" customHeight="1" x14ac:dyDescent="0.2">
      <c r="C62970"/>
      <c r="M62970"/>
    </row>
    <row r="62971" spans="3:13" ht="12.75" customHeight="1" x14ac:dyDescent="0.2">
      <c r="C62971"/>
      <c r="M62971"/>
    </row>
    <row r="62972" spans="3:13" ht="12.75" customHeight="1" x14ac:dyDescent="0.2">
      <c r="C62972"/>
      <c r="M62972"/>
    </row>
    <row r="62973" spans="3:13" ht="12.75" customHeight="1" x14ac:dyDescent="0.2">
      <c r="C62973"/>
      <c r="M62973"/>
    </row>
    <row r="62974" spans="3:13" ht="12.75" customHeight="1" x14ac:dyDescent="0.2">
      <c r="C62974"/>
      <c r="M62974"/>
    </row>
    <row r="62975" spans="3:13" ht="12.75" customHeight="1" x14ac:dyDescent="0.2">
      <c r="C62975"/>
      <c r="M62975"/>
    </row>
    <row r="62976" spans="3:13" ht="12.75" customHeight="1" x14ac:dyDescent="0.2">
      <c r="C62976"/>
      <c r="M62976"/>
    </row>
    <row r="62977" spans="3:13" ht="12.75" customHeight="1" x14ac:dyDescent="0.2">
      <c r="C62977"/>
      <c r="M62977"/>
    </row>
    <row r="62978" spans="3:13" ht="12.75" customHeight="1" x14ac:dyDescent="0.2">
      <c r="C62978"/>
      <c r="M62978"/>
    </row>
    <row r="62979" spans="3:13" ht="12.75" customHeight="1" x14ac:dyDescent="0.2">
      <c r="C62979"/>
      <c r="M62979"/>
    </row>
    <row r="62980" spans="3:13" ht="12.75" customHeight="1" x14ac:dyDescent="0.2">
      <c r="C62980"/>
      <c r="M62980"/>
    </row>
    <row r="62981" spans="3:13" ht="12.75" customHeight="1" x14ac:dyDescent="0.2">
      <c r="C62981"/>
      <c r="M62981"/>
    </row>
    <row r="62982" spans="3:13" ht="12.75" customHeight="1" x14ac:dyDescent="0.2">
      <c r="C62982"/>
      <c r="M62982"/>
    </row>
    <row r="62983" spans="3:13" ht="12.75" customHeight="1" x14ac:dyDescent="0.2">
      <c r="C62983"/>
      <c r="M62983"/>
    </row>
    <row r="62984" spans="3:13" ht="12.75" customHeight="1" x14ac:dyDescent="0.2">
      <c r="C62984"/>
      <c r="M62984"/>
    </row>
    <row r="62985" spans="3:13" ht="12.75" customHeight="1" x14ac:dyDescent="0.2">
      <c r="C62985"/>
      <c r="M62985"/>
    </row>
    <row r="62986" spans="3:13" ht="12.75" customHeight="1" x14ac:dyDescent="0.2">
      <c r="C62986"/>
      <c r="M62986"/>
    </row>
    <row r="62987" spans="3:13" ht="12.75" customHeight="1" x14ac:dyDescent="0.2">
      <c r="C62987"/>
      <c r="M62987"/>
    </row>
    <row r="62988" spans="3:13" ht="12.75" customHeight="1" x14ac:dyDescent="0.2">
      <c r="C62988"/>
      <c r="M62988"/>
    </row>
    <row r="62989" spans="3:13" ht="12.75" customHeight="1" x14ac:dyDescent="0.2">
      <c r="C62989"/>
      <c r="M62989"/>
    </row>
    <row r="62990" spans="3:13" ht="12.75" customHeight="1" x14ac:dyDescent="0.2">
      <c r="C62990"/>
      <c r="M62990"/>
    </row>
    <row r="62991" spans="3:13" ht="12.75" customHeight="1" x14ac:dyDescent="0.2">
      <c r="C62991"/>
      <c r="M62991"/>
    </row>
    <row r="62992" spans="3:13" ht="12.75" customHeight="1" x14ac:dyDescent="0.2">
      <c r="C62992"/>
      <c r="M62992"/>
    </row>
    <row r="62993" spans="3:13" ht="12.75" customHeight="1" x14ac:dyDescent="0.2">
      <c r="C62993"/>
      <c r="M62993"/>
    </row>
    <row r="62994" spans="3:13" ht="12.75" customHeight="1" x14ac:dyDescent="0.2">
      <c r="C62994"/>
      <c r="M62994"/>
    </row>
    <row r="62995" spans="3:13" ht="12.75" customHeight="1" x14ac:dyDescent="0.2">
      <c r="C62995"/>
      <c r="M62995"/>
    </row>
    <row r="62996" spans="3:13" ht="12.75" customHeight="1" x14ac:dyDescent="0.2">
      <c r="C62996"/>
      <c r="M62996"/>
    </row>
    <row r="62997" spans="3:13" ht="12.75" customHeight="1" x14ac:dyDescent="0.2">
      <c r="C62997"/>
      <c r="M62997"/>
    </row>
    <row r="62998" spans="3:13" ht="12.75" customHeight="1" x14ac:dyDescent="0.2">
      <c r="C62998"/>
      <c r="M62998"/>
    </row>
    <row r="62999" spans="3:13" ht="12.75" customHeight="1" x14ac:dyDescent="0.2">
      <c r="C62999"/>
      <c r="M62999"/>
    </row>
    <row r="63000" spans="3:13" ht="12.75" customHeight="1" x14ac:dyDescent="0.2">
      <c r="C63000"/>
      <c r="M63000"/>
    </row>
    <row r="63001" spans="3:13" ht="12.75" customHeight="1" x14ac:dyDescent="0.2">
      <c r="C63001"/>
      <c r="M63001"/>
    </row>
    <row r="63002" spans="3:13" ht="12.75" customHeight="1" x14ac:dyDescent="0.2">
      <c r="C63002"/>
      <c r="M63002"/>
    </row>
    <row r="63003" spans="3:13" ht="12.75" customHeight="1" x14ac:dyDescent="0.2">
      <c r="C63003"/>
      <c r="M63003"/>
    </row>
    <row r="63004" spans="3:13" ht="12.75" customHeight="1" x14ac:dyDescent="0.2">
      <c r="C63004"/>
      <c r="M63004"/>
    </row>
    <row r="63005" spans="3:13" ht="12.75" customHeight="1" x14ac:dyDescent="0.2">
      <c r="C63005"/>
      <c r="M63005"/>
    </row>
    <row r="63006" spans="3:13" ht="12.75" customHeight="1" x14ac:dyDescent="0.2">
      <c r="C63006"/>
      <c r="M63006"/>
    </row>
    <row r="63007" spans="3:13" ht="12.75" customHeight="1" x14ac:dyDescent="0.2">
      <c r="C63007"/>
      <c r="M63007"/>
    </row>
    <row r="63008" spans="3:13" ht="12.75" customHeight="1" x14ac:dyDescent="0.2">
      <c r="C63008"/>
      <c r="M63008"/>
    </row>
    <row r="63009" spans="3:13" ht="12.75" customHeight="1" x14ac:dyDescent="0.2">
      <c r="C63009"/>
      <c r="M63009"/>
    </row>
    <row r="63010" spans="3:13" ht="12.75" customHeight="1" x14ac:dyDescent="0.2">
      <c r="C63010"/>
      <c r="M63010"/>
    </row>
    <row r="63011" spans="3:13" ht="12.75" customHeight="1" x14ac:dyDescent="0.2">
      <c r="C63011"/>
      <c r="M63011"/>
    </row>
    <row r="63012" spans="3:13" ht="12.75" customHeight="1" x14ac:dyDescent="0.2">
      <c r="C63012"/>
      <c r="M63012"/>
    </row>
    <row r="63013" spans="3:13" ht="12.75" customHeight="1" x14ac:dyDescent="0.2">
      <c r="C63013"/>
      <c r="M63013"/>
    </row>
    <row r="63014" spans="3:13" ht="12.75" customHeight="1" x14ac:dyDescent="0.2">
      <c r="C63014"/>
      <c r="M63014"/>
    </row>
    <row r="63015" spans="3:13" ht="12.75" customHeight="1" x14ac:dyDescent="0.2">
      <c r="C63015"/>
      <c r="M63015"/>
    </row>
    <row r="63016" spans="3:13" ht="12.75" customHeight="1" x14ac:dyDescent="0.2">
      <c r="C63016"/>
      <c r="M63016"/>
    </row>
    <row r="63017" spans="3:13" ht="12.75" customHeight="1" x14ac:dyDescent="0.2">
      <c r="C63017"/>
      <c r="M63017"/>
    </row>
    <row r="63018" spans="3:13" ht="12.75" customHeight="1" x14ac:dyDescent="0.2">
      <c r="C63018"/>
      <c r="M63018"/>
    </row>
    <row r="63019" spans="3:13" ht="12.75" customHeight="1" x14ac:dyDescent="0.2">
      <c r="C63019"/>
      <c r="M63019"/>
    </row>
    <row r="63020" spans="3:13" ht="12.75" customHeight="1" x14ac:dyDescent="0.2">
      <c r="C63020"/>
      <c r="M63020"/>
    </row>
    <row r="63021" spans="3:13" ht="12.75" customHeight="1" x14ac:dyDescent="0.2">
      <c r="C63021"/>
      <c r="M63021"/>
    </row>
    <row r="63022" spans="3:13" ht="12.75" customHeight="1" x14ac:dyDescent="0.2">
      <c r="C63022"/>
      <c r="M63022"/>
    </row>
    <row r="63023" spans="3:13" ht="12.75" customHeight="1" x14ac:dyDescent="0.2">
      <c r="C63023"/>
      <c r="M63023"/>
    </row>
    <row r="63024" spans="3:13" ht="12.75" customHeight="1" x14ac:dyDescent="0.2">
      <c r="C63024"/>
      <c r="M63024"/>
    </row>
    <row r="63025" spans="3:13" ht="12.75" customHeight="1" x14ac:dyDescent="0.2">
      <c r="C63025"/>
      <c r="M63025"/>
    </row>
    <row r="63026" spans="3:13" ht="12.75" customHeight="1" x14ac:dyDescent="0.2">
      <c r="C63026"/>
      <c r="M63026"/>
    </row>
    <row r="63027" spans="3:13" ht="12.75" customHeight="1" x14ac:dyDescent="0.2">
      <c r="C63027"/>
      <c r="M63027"/>
    </row>
    <row r="63028" spans="3:13" ht="12.75" customHeight="1" x14ac:dyDescent="0.2">
      <c r="C63028"/>
      <c r="M63028"/>
    </row>
    <row r="63029" spans="3:13" ht="12.75" customHeight="1" x14ac:dyDescent="0.2">
      <c r="C63029"/>
      <c r="M63029"/>
    </row>
    <row r="63030" spans="3:13" ht="12.75" customHeight="1" x14ac:dyDescent="0.2">
      <c r="C63030"/>
      <c r="M63030"/>
    </row>
    <row r="63031" spans="3:13" ht="12.75" customHeight="1" x14ac:dyDescent="0.2">
      <c r="C63031"/>
      <c r="M63031"/>
    </row>
    <row r="63032" spans="3:13" ht="12.75" customHeight="1" x14ac:dyDescent="0.2">
      <c r="C63032"/>
      <c r="M63032"/>
    </row>
    <row r="63033" spans="3:13" ht="12.75" customHeight="1" x14ac:dyDescent="0.2">
      <c r="C63033"/>
      <c r="M63033"/>
    </row>
    <row r="63034" spans="3:13" ht="12.75" customHeight="1" x14ac:dyDescent="0.2">
      <c r="C63034"/>
      <c r="M63034"/>
    </row>
    <row r="63035" spans="3:13" ht="12.75" customHeight="1" x14ac:dyDescent="0.2">
      <c r="C63035"/>
      <c r="M63035"/>
    </row>
    <row r="63036" spans="3:13" ht="12.75" customHeight="1" x14ac:dyDescent="0.2">
      <c r="C63036"/>
      <c r="M63036"/>
    </row>
    <row r="63037" spans="3:13" ht="12.75" customHeight="1" x14ac:dyDescent="0.2">
      <c r="C63037"/>
      <c r="M63037"/>
    </row>
    <row r="63038" spans="3:13" ht="12.75" customHeight="1" x14ac:dyDescent="0.2">
      <c r="C63038"/>
      <c r="M63038"/>
    </row>
    <row r="63039" spans="3:13" ht="12.75" customHeight="1" x14ac:dyDescent="0.2">
      <c r="C63039"/>
      <c r="M63039"/>
    </row>
    <row r="63040" spans="3:13" ht="12.75" customHeight="1" x14ac:dyDescent="0.2">
      <c r="C63040"/>
      <c r="M63040"/>
    </row>
    <row r="63041" spans="3:13" ht="12.75" customHeight="1" x14ac:dyDescent="0.2">
      <c r="C63041"/>
      <c r="M63041"/>
    </row>
    <row r="63042" spans="3:13" ht="12.75" customHeight="1" x14ac:dyDescent="0.2">
      <c r="C63042"/>
      <c r="M63042"/>
    </row>
    <row r="63043" spans="3:13" ht="12.75" customHeight="1" x14ac:dyDescent="0.2">
      <c r="C63043"/>
      <c r="M63043"/>
    </row>
    <row r="63044" spans="3:13" ht="12.75" customHeight="1" x14ac:dyDescent="0.2">
      <c r="C63044"/>
      <c r="M63044"/>
    </row>
    <row r="63045" spans="3:13" ht="12.75" customHeight="1" x14ac:dyDescent="0.2">
      <c r="C63045"/>
      <c r="M63045"/>
    </row>
    <row r="63046" spans="3:13" ht="12.75" customHeight="1" x14ac:dyDescent="0.2">
      <c r="C63046"/>
      <c r="M63046"/>
    </row>
    <row r="63047" spans="3:13" ht="12.75" customHeight="1" x14ac:dyDescent="0.2">
      <c r="C63047"/>
      <c r="M63047"/>
    </row>
    <row r="63048" spans="3:13" ht="12.75" customHeight="1" x14ac:dyDescent="0.2">
      <c r="C63048"/>
      <c r="M63048"/>
    </row>
    <row r="63049" spans="3:13" ht="12.75" customHeight="1" x14ac:dyDescent="0.2">
      <c r="C63049"/>
      <c r="M63049"/>
    </row>
    <row r="63050" spans="3:13" ht="12.75" customHeight="1" x14ac:dyDescent="0.2">
      <c r="C63050"/>
      <c r="M63050"/>
    </row>
    <row r="63051" spans="3:13" ht="12.75" customHeight="1" x14ac:dyDescent="0.2">
      <c r="C63051"/>
      <c r="M63051"/>
    </row>
    <row r="63052" spans="3:13" ht="12.75" customHeight="1" x14ac:dyDescent="0.2">
      <c r="C63052"/>
      <c r="M63052"/>
    </row>
    <row r="63053" spans="3:13" ht="12.75" customHeight="1" x14ac:dyDescent="0.2">
      <c r="C63053"/>
      <c r="M63053"/>
    </row>
    <row r="63054" spans="3:13" ht="12.75" customHeight="1" x14ac:dyDescent="0.2">
      <c r="C63054"/>
      <c r="M63054"/>
    </row>
    <row r="63055" spans="3:13" ht="12.75" customHeight="1" x14ac:dyDescent="0.2">
      <c r="C63055"/>
      <c r="M63055"/>
    </row>
    <row r="63056" spans="3:13" ht="12.75" customHeight="1" x14ac:dyDescent="0.2">
      <c r="C63056"/>
      <c r="M63056"/>
    </row>
    <row r="63057" spans="3:13" ht="12.75" customHeight="1" x14ac:dyDescent="0.2">
      <c r="C63057"/>
      <c r="M63057"/>
    </row>
    <row r="63058" spans="3:13" ht="12.75" customHeight="1" x14ac:dyDescent="0.2">
      <c r="C63058"/>
      <c r="M63058"/>
    </row>
    <row r="63059" spans="3:13" ht="12.75" customHeight="1" x14ac:dyDescent="0.2">
      <c r="C63059"/>
      <c r="M63059"/>
    </row>
    <row r="63060" spans="3:13" ht="12.75" customHeight="1" x14ac:dyDescent="0.2">
      <c r="C63060"/>
      <c r="M63060"/>
    </row>
    <row r="63061" spans="3:13" ht="12.75" customHeight="1" x14ac:dyDescent="0.2">
      <c r="C63061"/>
      <c r="M63061"/>
    </row>
    <row r="63062" spans="3:13" ht="12.75" customHeight="1" x14ac:dyDescent="0.2">
      <c r="C63062"/>
      <c r="M63062"/>
    </row>
    <row r="63063" spans="3:13" ht="12.75" customHeight="1" x14ac:dyDescent="0.2">
      <c r="C63063"/>
      <c r="M63063"/>
    </row>
    <row r="63064" spans="3:13" ht="12.75" customHeight="1" x14ac:dyDescent="0.2">
      <c r="C63064"/>
      <c r="M63064"/>
    </row>
    <row r="63065" spans="3:13" ht="12.75" customHeight="1" x14ac:dyDescent="0.2">
      <c r="C63065"/>
      <c r="M63065"/>
    </row>
    <row r="63066" spans="3:13" ht="12.75" customHeight="1" x14ac:dyDescent="0.2">
      <c r="C63066"/>
      <c r="M63066"/>
    </row>
    <row r="63067" spans="3:13" ht="12.75" customHeight="1" x14ac:dyDescent="0.2">
      <c r="C63067"/>
      <c r="M63067"/>
    </row>
    <row r="63068" spans="3:13" ht="12.75" customHeight="1" x14ac:dyDescent="0.2">
      <c r="C63068"/>
      <c r="M63068"/>
    </row>
    <row r="63069" spans="3:13" ht="12.75" customHeight="1" x14ac:dyDescent="0.2">
      <c r="C63069"/>
      <c r="M63069"/>
    </row>
    <row r="63070" spans="3:13" ht="12.75" customHeight="1" x14ac:dyDescent="0.2">
      <c r="C63070"/>
      <c r="M63070"/>
    </row>
    <row r="63071" spans="3:13" ht="12.75" customHeight="1" x14ac:dyDescent="0.2">
      <c r="C63071"/>
      <c r="M63071"/>
    </row>
    <row r="63072" spans="3:13" ht="12.75" customHeight="1" x14ac:dyDescent="0.2">
      <c r="C63072"/>
      <c r="M63072"/>
    </row>
    <row r="63073" spans="3:13" ht="12.75" customHeight="1" x14ac:dyDescent="0.2">
      <c r="C63073"/>
      <c r="M63073"/>
    </row>
    <row r="63074" spans="3:13" ht="12.75" customHeight="1" x14ac:dyDescent="0.2">
      <c r="C63074"/>
      <c r="M63074"/>
    </row>
    <row r="63075" spans="3:13" ht="12.75" customHeight="1" x14ac:dyDescent="0.2">
      <c r="C63075"/>
      <c r="M63075"/>
    </row>
    <row r="63076" spans="3:13" ht="12.75" customHeight="1" x14ac:dyDescent="0.2">
      <c r="C63076"/>
      <c r="M63076"/>
    </row>
    <row r="63077" spans="3:13" ht="12.75" customHeight="1" x14ac:dyDescent="0.2">
      <c r="C63077"/>
      <c r="M63077"/>
    </row>
    <row r="63078" spans="3:13" ht="12.75" customHeight="1" x14ac:dyDescent="0.2">
      <c r="C63078"/>
      <c r="M63078"/>
    </row>
    <row r="63079" spans="3:13" ht="12.75" customHeight="1" x14ac:dyDescent="0.2">
      <c r="C63079"/>
      <c r="M63079"/>
    </row>
    <row r="63080" spans="3:13" ht="12.75" customHeight="1" x14ac:dyDescent="0.2">
      <c r="C63080"/>
      <c r="M63080"/>
    </row>
    <row r="63081" spans="3:13" ht="12.75" customHeight="1" x14ac:dyDescent="0.2">
      <c r="C63081"/>
      <c r="M63081"/>
    </row>
    <row r="63082" spans="3:13" ht="12.75" customHeight="1" x14ac:dyDescent="0.2">
      <c r="C63082"/>
      <c r="M63082"/>
    </row>
    <row r="63083" spans="3:13" ht="12.75" customHeight="1" x14ac:dyDescent="0.2">
      <c r="C63083"/>
      <c r="M63083"/>
    </row>
    <row r="63084" spans="3:13" ht="12.75" customHeight="1" x14ac:dyDescent="0.2">
      <c r="C63084"/>
      <c r="M63084"/>
    </row>
    <row r="63085" spans="3:13" ht="12.75" customHeight="1" x14ac:dyDescent="0.2">
      <c r="C63085"/>
      <c r="M63085"/>
    </row>
    <row r="63086" spans="3:13" ht="12.75" customHeight="1" x14ac:dyDescent="0.2">
      <c r="C63086"/>
      <c r="M63086"/>
    </row>
    <row r="63087" spans="3:13" ht="12.75" customHeight="1" x14ac:dyDescent="0.2">
      <c r="C63087"/>
      <c r="M63087"/>
    </row>
    <row r="63088" spans="3:13" ht="12.75" customHeight="1" x14ac:dyDescent="0.2">
      <c r="C63088"/>
      <c r="M63088"/>
    </row>
    <row r="63089" spans="3:13" ht="12.75" customHeight="1" x14ac:dyDescent="0.2">
      <c r="C63089"/>
      <c r="M63089"/>
    </row>
    <row r="63090" spans="3:13" ht="12.75" customHeight="1" x14ac:dyDescent="0.2">
      <c r="C63090"/>
      <c r="M63090"/>
    </row>
    <row r="63091" spans="3:13" ht="12.75" customHeight="1" x14ac:dyDescent="0.2">
      <c r="C63091"/>
      <c r="M63091"/>
    </row>
    <row r="63092" spans="3:13" ht="12.75" customHeight="1" x14ac:dyDescent="0.2">
      <c r="C63092"/>
      <c r="M63092"/>
    </row>
    <row r="63093" spans="3:13" ht="12.75" customHeight="1" x14ac:dyDescent="0.2">
      <c r="C63093"/>
      <c r="M63093"/>
    </row>
    <row r="63094" spans="3:13" ht="12.75" customHeight="1" x14ac:dyDescent="0.2">
      <c r="C63094"/>
      <c r="M63094"/>
    </row>
    <row r="63095" spans="3:13" ht="12.75" customHeight="1" x14ac:dyDescent="0.2">
      <c r="C63095"/>
      <c r="M63095"/>
    </row>
    <row r="63096" spans="3:13" ht="12.75" customHeight="1" x14ac:dyDescent="0.2">
      <c r="C63096"/>
      <c r="M63096"/>
    </row>
    <row r="63097" spans="3:13" ht="12.75" customHeight="1" x14ac:dyDescent="0.2">
      <c r="C63097"/>
      <c r="M63097"/>
    </row>
    <row r="63098" spans="3:13" ht="12.75" customHeight="1" x14ac:dyDescent="0.2">
      <c r="C63098"/>
      <c r="M63098"/>
    </row>
    <row r="63099" spans="3:13" ht="12.75" customHeight="1" x14ac:dyDescent="0.2">
      <c r="C63099"/>
      <c r="M63099"/>
    </row>
    <row r="63100" spans="3:13" ht="12.75" customHeight="1" x14ac:dyDescent="0.2">
      <c r="C63100"/>
      <c r="M63100"/>
    </row>
    <row r="63101" spans="3:13" ht="12.75" customHeight="1" x14ac:dyDescent="0.2">
      <c r="C63101"/>
      <c r="M63101"/>
    </row>
    <row r="63102" spans="3:13" ht="12.75" customHeight="1" x14ac:dyDescent="0.2">
      <c r="C63102"/>
      <c r="M63102"/>
    </row>
    <row r="63103" spans="3:13" ht="12.75" customHeight="1" x14ac:dyDescent="0.2">
      <c r="C63103"/>
      <c r="M63103"/>
    </row>
    <row r="63104" spans="3:13" ht="12.75" customHeight="1" x14ac:dyDescent="0.2">
      <c r="C63104"/>
      <c r="M63104"/>
    </row>
    <row r="63105" spans="3:13" ht="12.75" customHeight="1" x14ac:dyDescent="0.2">
      <c r="C63105"/>
      <c r="M63105"/>
    </row>
    <row r="63106" spans="3:13" ht="12.75" customHeight="1" x14ac:dyDescent="0.2">
      <c r="C63106"/>
      <c r="M63106"/>
    </row>
    <row r="63107" spans="3:13" ht="12.75" customHeight="1" x14ac:dyDescent="0.2">
      <c r="C63107"/>
      <c r="M63107"/>
    </row>
    <row r="63108" spans="3:13" ht="12.75" customHeight="1" x14ac:dyDescent="0.2">
      <c r="C63108"/>
      <c r="M63108"/>
    </row>
    <row r="63109" spans="3:13" ht="12.75" customHeight="1" x14ac:dyDescent="0.2">
      <c r="C63109"/>
      <c r="M63109"/>
    </row>
    <row r="63110" spans="3:13" ht="12.75" customHeight="1" x14ac:dyDescent="0.2">
      <c r="C63110"/>
      <c r="M63110"/>
    </row>
    <row r="63111" spans="3:13" ht="12.75" customHeight="1" x14ac:dyDescent="0.2">
      <c r="C63111"/>
      <c r="M63111"/>
    </row>
    <row r="63112" spans="3:13" ht="12.75" customHeight="1" x14ac:dyDescent="0.2">
      <c r="C63112"/>
      <c r="M63112"/>
    </row>
    <row r="63113" spans="3:13" ht="12.75" customHeight="1" x14ac:dyDescent="0.2">
      <c r="C63113"/>
      <c r="M63113"/>
    </row>
    <row r="63114" spans="3:13" ht="12.75" customHeight="1" x14ac:dyDescent="0.2">
      <c r="C63114"/>
      <c r="M63114"/>
    </row>
    <row r="63115" spans="3:13" ht="12.75" customHeight="1" x14ac:dyDescent="0.2">
      <c r="C63115"/>
      <c r="M63115"/>
    </row>
    <row r="63116" spans="3:13" ht="12.75" customHeight="1" x14ac:dyDescent="0.2">
      <c r="C63116"/>
      <c r="M63116"/>
    </row>
    <row r="63117" spans="3:13" ht="12.75" customHeight="1" x14ac:dyDescent="0.2">
      <c r="C63117"/>
      <c r="M63117"/>
    </row>
    <row r="63118" spans="3:13" ht="12.75" customHeight="1" x14ac:dyDescent="0.2">
      <c r="C63118"/>
      <c r="M63118"/>
    </row>
    <row r="63119" spans="3:13" ht="12.75" customHeight="1" x14ac:dyDescent="0.2">
      <c r="C63119"/>
      <c r="M63119"/>
    </row>
    <row r="63120" spans="3:13" ht="12.75" customHeight="1" x14ac:dyDescent="0.2">
      <c r="C63120"/>
      <c r="M63120"/>
    </row>
    <row r="63121" spans="3:13" ht="12.75" customHeight="1" x14ac:dyDescent="0.2">
      <c r="C63121"/>
      <c r="M63121"/>
    </row>
    <row r="63122" spans="3:13" ht="12.75" customHeight="1" x14ac:dyDescent="0.2">
      <c r="C63122"/>
      <c r="M63122"/>
    </row>
    <row r="63123" spans="3:13" ht="12.75" customHeight="1" x14ac:dyDescent="0.2">
      <c r="C63123"/>
      <c r="M63123"/>
    </row>
    <row r="63124" spans="3:13" ht="12.75" customHeight="1" x14ac:dyDescent="0.2">
      <c r="C63124"/>
      <c r="M63124"/>
    </row>
    <row r="63125" spans="3:13" ht="12.75" customHeight="1" x14ac:dyDescent="0.2">
      <c r="C63125"/>
      <c r="M63125"/>
    </row>
    <row r="63126" spans="3:13" ht="12.75" customHeight="1" x14ac:dyDescent="0.2">
      <c r="C63126"/>
      <c r="M63126"/>
    </row>
    <row r="63127" spans="3:13" ht="12.75" customHeight="1" x14ac:dyDescent="0.2">
      <c r="C63127"/>
      <c r="M63127"/>
    </row>
    <row r="63128" spans="3:13" ht="12.75" customHeight="1" x14ac:dyDescent="0.2">
      <c r="C63128"/>
      <c r="M63128"/>
    </row>
    <row r="63129" spans="3:13" ht="12.75" customHeight="1" x14ac:dyDescent="0.2">
      <c r="C63129"/>
      <c r="M63129"/>
    </row>
    <row r="63130" spans="3:13" ht="12.75" customHeight="1" x14ac:dyDescent="0.2">
      <c r="C63130"/>
      <c r="M63130"/>
    </row>
    <row r="63131" spans="3:13" ht="12.75" customHeight="1" x14ac:dyDescent="0.2">
      <c r="C63131"/>
      <c r="M63131"/>
    </row>
    <row r="63132" spans="3:13" ht="12.75" customHeight="1" x14ac:dyDescent="0.2">
      <c r="C63132"/>
      <c r="M63132"/>
    </row>
    <row r="63133" spans="3:13" ht="12.75" customHeight="1" x14ac:dyDescent="0.2">
      <c r="C63133"/>
      <c r="M63133"/>
    </row>
    <row r="63134" spans="3:13" ht="12.75" customHeight="1" x14ac:dyDescent="0.2">
      <c r="C63134"/>
      <c r="M63134"/>
    </row>
    <row r="63135" spans="3:13" ht="12.75" customHeight="1" x14ac:dyDescent="0.2">
      <c r="C63135"/>
      <c r="M63135"/>
    </row>
    <row r="63136" spans="3:13" ht="12.75" customHeight="1" x14ac:dyDescent="0.2">
      <c r="C63136"/>
      <c r="M63136"/>
    </row>
    <row r="63137" spans="3:13" ht="12.75" customHeight="1" x14ac:dyDescent="0.2">
      <c r="C63137"/>
      <c r="M63137"/>
    </row>
    <row r="63138" spans="3:13" ht="12.75" customHeight="1" x14ac:dyDescent="0.2">
      <c r="C63138"/>
      <c r="M63138"/>
    </row>
    <row r="63139" spans="3:13" ht="12.75" customHeight="1" x14ac:dyDescent="0.2">
      <c r="C63139"/>
      <c r="M63139"/>
    </row>
    <row r="63140" spans="3:13" ht="12.75" customHeight="1" x14ac:dyDescent="0.2">
      <c r="C63140"/>
      <c r="M63140"/>
    </row>
    <row r="63141" spans="3:13" ht="12.75" customHeight="1" x14ac:dyDescent="0.2">
      <c r="C63141"/>
      <c r="M63141"/>
    </row>
    <row r="63142" spans="3:13" ht="12.75" customHeight="1" x14ac:dyDescent="0.2">
      <c r="C63142"/>
      <c r="M63142"/>
    </row>
    <row r="63143" spans="3:13" ht="12.75" customHeight="1" x14ac:dyDescent="0.2">
      <c r="C63143"/>
      <c r="M63143"/>
    </row>
    <row r="63144" spans="3:13" ht="12.75" customHeight="1" x14ac:dyDescent="0.2">
      <c r="C63144"/>
      <c r="M63144"/>
    </row>
    <row r="63145" spans="3:13" ht="12.75" customHeight="1" x14ac:dyDescent="0.2">
      <c r="C63145"/>
      <c r="M63145"/>
    </row>
    <row r="63146" spans="3:13" ht="12.75" customHeight="1" x14ac:dyDescent="0.2">
      <c r="C63146"/>
      <c r="M63146"/>
    </row>
    <row r="63147" spans="3:13" ht="12.75" customHeight="1" x14ac:dyDescent="0.2">
      <c r="C63147"/>
      <c r="M63147"/>
    </row>
    <row r="63148" spans="3:13" ht="12.75" customHeight="1" x14ac:dyDescent="0.2">
      <c r="C63148"/>
      <c r="M63148"/>
    </row>
    <row r="63149" spans="3:13" ht="12.75" customHeight="1" x14ac:dyDescent="0.2">
      <c r="C63149"/>
      <c r="M63149"/>
    </row>
    <row r="63150" spans="3:13" ht="12.75" customHeight="1" x14ac:dyDescent="0.2">
      <c r="C63150"/>
      <c r="M63150"/>
    </row>
    <row r="63151" spans="3:13" ht="12.75" customHeight="1" x14ac:dyDescent="0.2">
      <c r="C63151"/>
      <c r="M63151"/>
    </row>
    <row r="63152" spans="3:13" ht="12.75" customHeight="1" x14ac:dyDescent="0.2">
      <c r="C63152"/>
      <c r="M63152"/>
    </row>
    <row r="63153" spans="3:13" ht="12.75" customHeight="1" x14ac:dyDescent="0.2">
      <c r="C63153"/>
      <c r="M63153"/>
    </row>
    <row r="63154" spans="3:13" ht="12.75" customHeight="1" x14ac:dyDescent="0.2">
      <c r="C63154"/>
      <c r="M63154"/>
    </row>
    <row r="63155" spans="3:13" ht="12.75" customHeight="1" x14ac:dyDescent="0.2">
      <c r="C63155"/>
      <c r="M63155"/>
    </row>
    <row r="63156" spans="3:13" ht="12.75" customHeight="1" x14ac:dyDescent="0.2">
      <c r="C63156"/>
      <c r="M63156"/>
    </row>
    <row r="63157" spans="3:13" ht="12.75" customHeight="1" x14ac:dyDescent="0.2">
      <c r="C63157"/>
      <c r="M63157"/>
    </row>
    <row r="63158" spans="3:13" ht="12.75" customHeight="1" x14ac:dyDescent="0.2">
      <c r="C63158"/>
      <c r="M63158"/>
    </row>
    <row r="63159" spans="3:13" ht="12.75" customHeight="1" x14ac:dyDescent="0.2">
      <c r="C63159"/>
      <c r="M63159"/>
    </row>
    <row r="63160" spans="3:13" ht="12.75" customHeight="1" x14ac:dyDescent="0.2">
      <c r="C63160"/>
      <c r="M63160"/>
    </row>
    <row r="63161" spans="3:13" ht="12.75" customHeight="1" x14ac:dyDescent="0.2">
      <c r="C63161"/>
      <c r="M63161"/>
    </row>
    <row r="63162" spans="3:13" ht="12.75" customHeight="1" x14ac:dyDescent="0.2">
      <c r="C63162"/>
      <c r="M63162"/>
    </row>
    <row r="63163" spans="3:13" ht="12.75" customHeight="1" x14ac:dyDescent="0.2">
      <c r="C63163"/>
      <c r="M63163"/>
    </row>
    <row r="63164" spans="3:13" ht="12.75" customHeight="1" x14ac:dyDescent="0.2">
      <c r="C63164"/>
      <c r="M63164"/>
    </row>
    <row r="63165" spans="3:13" ht="12.75" customHeight="1" x14ac:dyDescent="0.2">
      <c r="C63165"/>
      <c r="M63165"/>
    </row>
    <row r="63166" spans="3:13" ht="12.75" customHeight="1" x14ac:dyDescent="0.2">
      <c r="C63166"/>
      <c r="M63166"/>
    </row>
    <row r="63167" spans="3:13" ht="12.75" customHeight="1" x14ac:dyDescent="0.2">
      <c r="C63167"/>
      <c r="M63167"/>
    </row>
    <row r="63168" spans="3:13" ht="12.75" customHeight="1" x14ac:dyDescent="0.2">
      <c r="C63168"/>
      <c r="M63168"/>
    </row>
    <row r="63169" spans="3:13" ht="12.75" customHeight="1" x14ac:dyDescent="0.2">
      <c r="C63169"/>
      <c r="M63169"/>
    </row>
    <row r="63170" spans="3:13" ht="12.75" customHeight="1" x14ac:dyDescent="0.2">
      <c r="C63170"/>
      <c r="M63170"/>
    </row>
    <row r="63171" spans="3:13" ht="12.75" customHeight="1" x14ac:dyDescent="0.2">
      <c r="C63171"/>
      <c r="M63171"/>
    </row>
    <row r="63172" spans="3:13" ht="12.75" customHeight="1" x14ac:dyDescent="0.2">
      <c r="C63172"/>
      <c r="M63172"/>
    </row>
    <row r="63173" spans="3:13" ht="12.75" customHeight="1" x14ac:dyDescent="0.2">
      <c r="C63173"/>
      <c r="M63173"/>
    </row>
    <row r="63174" spans="3:13" ht="12.75" customHeight="1" x14ac:dyDescent="0.2">
      <c r="C63174"/>
      <c r="M63174"/>
    </row>
    <row r="63175" spans="3:13" ht="12.75" customHeight="1" x14ac:dyDescent="0.2">
      <c r="C63175"/>
      <c r="M63175"/>
    </row>
    <row r="63176" spans="3:13" ht="12.75" customHeight="1" x14ac:dyDescent="0.2">
      <c r="C63176"/>
      <c r="M63176"/>
    </row>
    <row r="63177" spans="3:13" ht="12.75" customHeight="1" x14ac:dyDescent="0.2">
      <c r="C63177"/>
      <c r="M63177"/>
    </row>
    <row r="63178" spans="3:13" ht="12.75" customHeight="1" x14ac:dyDescent="0.2">
      <c r="C63178"/>
      <c r="M63178"/>
    </row>
    <row r="63179" spans="3:13" ht="12.75" customHeight="1" x14ac:dyDescent="0.2">
      <c r="C63179"/>
      <c r="M63179"/>
    </row>
    <row r="63180" spans="3:13" ht="12.75" customHeight="1" x14ac:dyDescent="0.2">
      <c r="C63180"/>
      <c r="M63180"/>
    </row>
    <row r="63181" spans="3:13" ht="12.75" customHeight="1" x14ac:dyDescent="0.2">
      <c r="C63181"/>
      <c r="M63181"/>
    </row>
    <row r="63182" spans="3:13" ht="12.75" customHeight="1" x14ac:dyDescent="0.2">
      <c r="C63182"/>
      <c r="M63182"/>
    </row>
    <row r="63183" spans="3:13" ht="12.75" customHeight="1" x14ac:dyDescent="0.2">
      <c r="C63183"/>
      <c r="M63183"/>
    </row>
    <row r="63184" spans="3:13" ht="12.75" customHeight="1" x14ac:dyDescent="0.2">
      <c r="C63184"/>
      <c r="M63184"/>
    </row>
    <row r="63185" spans="3:13" ht="12.75" customHeight="1" x14ac:dyDescent="0.2">
      <c r="C63185"/>
      <c r="M63185"/>
    </row>
    <row r="63186" spans="3:13" ht="12.75" customHeight="1" x14ac:dyDescent="0.2">
      <c r="C63186"/>
      <c r="M63186"/>
    </row>
    <row r="63187" spans="3:13" ht="12.75" customHeight="1" x14ac:dyDescent="0.2">
      <c r="C63187"/>
      <c r="M63187"/>
    </row>
    <row r="63188" spans="3:13" ht="12.75" customHeight="1" x14ac:dyDescent="0.2">
      <c r="C63188"/>
      <c r="M63188"/>
    </row>
    <row r="63189" spans="3:13" ht="12.75" customHeight="1" x14ac:dyDescent="0.2">
      <c r="C63189"/>
      <c r="M63189"/>
    </row>
    <row r="63190" spans="3:13" ht="12.75" customHeight="1" x14ac:dyDescent="0.2">
      <c r="C63190"/>
      <c r="M63190"/>
    </row>
    <row r="63191" spans="3:13" ht="12.75" customHeight="1" x14ac:dyDescent="0.2">
      <c r="C63191"/>
      <c r="M63191"/>
    </row>
    <row r="63192" spans="3:13" ht="12.75" customHeight="1" x14ac:dyDescent="0.2">
      <c r="C63192"/>
      <c r="M63192"/>
    </row>
    <row r="63193" spans="3:13" ht="12.75" customHeight="1" x14ac:dyDescent="0.2">
      <c r="C63193"/>
      <c r="M63193"/>
    </row>
    <row r="63194" spans="3:13" ht="12.75" customHeight="1" x14ac:dyDescent="0.2">
      <c r="C63194"/>
      <c r="M63194"/>
    </row>
    <row r="63195" spans="3:13" ht="12.75" customHeight="1" x14ac:dyDescent="0.2">
      <c r="C63195"/>
      <c r="M63195"/>
    </row>
    <row r="63196" spans="3:13" ht="12.75" customHeight="1" x14ac:dyDescent="0.2">
      <c r="C63196"/>
      <c r="M63196"/>
    </row>
    <row r="63197" spans="3:13" ht="12.75" customHeight="1" x14ac:dyDescent="0.2">
      <c r="C63197"/>
      <c r="M63197"/>
    </row>
    <row r="63198" spans="3:13" ht="12.75" customHeight="1" x14ac:dyDescent="0.2">
      <c r="C63198"/>
      <c r="M63198"/>
    </row>
    <row r="63199" spans="3:13" ht="12.75" customHeight="1" x14ac:dyDescent="0.2">
      <c r="C63199"/>
      <c r="M63199"/>
    </row>
    <row r="63200" spans="3:13" ht="12.75" customHeight="1" x14ac:dyDescent="0.2">
      <c r="C63200"/>
      <c r="M63200"/>
    </row>
    <row r="63201" spans="3:13" ht="12.75" customHeight="1" x14ac:dyDescent="0.2">
      <c r="C63201"/>
      <c r="M63201"/>
    </row>
    <row r="63202" spans="3:13" ht="12.75" customHeight="1" x14ac:dyDescent="0.2">
      <c r="C63202"/>
      <c r="M63202"/>
    </row>
    <row r="63203" spans="3:13" ht="12.75" customHeight="1" x14ac:dyDescent="0.2">
      <c r="C63203"/>
      <c r="M63203"/>
    </row>
    <row r="63204" spans="3:13" ht="12.75" customHeight="1" x14ac:dyDescent="0.2">
      <c r="C63204"/>
      <c r="M63204"/>
    </row>
    <row r="63205" spans="3:13" ht="12.75" customHeight="1" x14ac:dyDescent="0.2">
      <c r="C63205"/>
      <c r="M63205"/>
    </row>
    <row r="63206" spans="3:13" ht="12.75" customHeight="1" x14ac:dyDescent="0.2">
      <c r="C63206"/>
      <c r="M63206"/>
    </row>
    <row r="63207" spans="3:13" ht="12.75" customHeight="1" x14ac:dyDescent="0.2">
      <c r="C63207"/>
      <c r="M63207"/>
    </row>
    <row r="63208" spans="3:13" ht="12.75" customHeight="1" x14ac:dyDescent="0.2">
      <c r="C63208"/>
      <c r="M63208"/>
    </row>
    <row r="63209" spans="3:13" ht="12.75" customHeight="1" x14ac:dyDescent="0.2">
      <c r="C63209"/>
      <c r="M63209"/>
    </row>
    <row r="63210" spans="3:13" ht="12.75" customHeight="1" x14ac:dyDescent="0.2">
      <c r="C63210"/>
      <c r="M63210"/>
    </row>
    <row r="63211" spans="3:13" ht="12.75" customHeight="1" x14ac:dyDescent="0.2">
      <c r="C63211"/>
      <c r="M63211"/>
    </row>
    <row r="63212" spans="3:13" ht="12.75" customHeight="1" x14ac:dyDescent="0.2">
      <c r="C63212"/>
      <c r="M63212"/>
    </row>
    <row r="63213" spans="3:13" ht="12.75" customHeight="1" x14ac:dyDescent="0.2">
      <c r="C63213"/>
      <c r="M63213"/>
    </row>
    <row r="63214" spans="3:13" ht="12.75" customHeight="1" x14ac:dyDescent="0.2">
      <c r="C63214"/>
      <c r="M63214"/>
    </row>
    <row r="63215" spans="3:13" ht="12.75" customHeight="1" x14ac:dyDescent="0.2">
      <c r="C63215"/>
      <c r="M63215"/>
    </row>
    <row r="63216" spans="3:13" ht="12.75" customHeight="1" x14ac:dyDescent="0.2">
      <c r="C63216"/>
      <c r="M63216"/>
    </row>
    <row r="63217" spans="3:13" ht="12.75" customHeight="1" x14ac:dyDescent="0.2">
      <c r="C63217"/>
      <c r="M63217"/>
    </row>
    <row r="63218" spans="3:13" ht="12.75" customHeight="1" x14ac:dyDescent="0.2">
      <c r="C63218"/>
      <c r="M63218"/>
    </row>
    <row r="63219" spans="3:13" ht="12.75" customHeight="1" x14ac:dyDescent="0.2">
      <c r="C63219"/>
      <c r="M63219"/>
    </row>
    <row r="63220" spans="3:13" ht="12.75" customHeight="1" x14ac:dyDescent="0.2">
      <c r="C63220"/>
      <c r="M63220"/>
    </row>
    <row r="63221" spans="3:13" ht="12.75" customHeight="1" x14ac:dyDescent="0.2">
      <c r="C63221"/>
      <c r="M63221"/>
    </row>
    <row r="63222" spans="3:13" ht="12.75" customHeight="1" x14ac:dyDescent="0.2">
      <c r="C63222"/>
      <c r="M63222"/>
    </row>
    <row r="63223" spans="3:13" ht="12.75" customHeight="1" x14ac:dyDescent="0.2">
      <c r="C63223"/>
      <c r="M63223"/>
    </row>
    <row r="63224" spans="3:13" ht="12.75" customHeight="1" x14ac:dyDescent="0.2">
      <c r="C63224"/>
      <c r="M63224"/>
    </row>
    <row r="63225" spans="3:13" ht="12.75" customHeight="1" x14ac:dyDescent="0.2">
      <c r="C63225"/>
      <c r="M63225"/>
    </row>
    <row r="63226" spans="3:13" ht="12.75" customHeight="1" x14ac:dyDescent="0.2">
      <c r="C63226"/>
      <c r="M63226"/>
    </row>
    <row r="63227" spans="3:13" ht="12.75" customHeight="1" x14ac:dyDescent="0.2">
      <c r="C63227"/>
      <c r="M63227"/>
    </row>
    <row r="63228" spans="3:13" ht="12.75" customHeight="1" x14ac:dyDescent="0.2">
      <c r="C63228"/>
      <c r="M63228"/>
    </row>
    <row r="63229" spans="3:13" ht="12.75" customHeight="1" x14ac:dyDescent="0.2">
      <c r="C63229"/>
      <c r="M63229"/>
    </row>
    <row r="63230" spans="3:13" ht="12.75" customHeight="1" x14ac:dyDescent="0.2">
      <c r="C63230"/>
      <c r="M63230"/>
    </row>
    <row r="63231" spans="3:13" ht="12.75" customHeight="1" x14ac:dyDescent="0.2">
      <c r="C63231"/>
      <c r="M63231"/>
    </row>
    <row r="63232" spans="3:13" ht="12.75" customHeight="1" x14ac:dyDescent="0.2">
      <c r="C63232"/>
      <c r="M63232"/>
    </row>
    <row r="63233" spans="3:13" ht="12.75" customHeight="1" x14ac:dyDescent="0.2">
      <c r="C63233"/>
      <c r="M63233"/>
    </row>
    <row r="63234" spans="3:13" ht="12.75" customHeight="1" x14ac:dyDescent="0.2">
      <c r="C63234"/>
      <c r="M63234"/>
    </row>
    <row r="63235" spans="3:13" ht="12.75" customHeight="1" x14ac:dyDescent="0.2">
      <c r="C63235"/>
      <c r="M63235"/>
    </row>
    <row r="63236" spans="3:13" ht="12.75" customHeight="1" x14ac:dyDescent="0.2">
      <c r="C63236"/>
      <c r="M63236"/>
    </row>
    <row r="63237" spans="3:13" ht="12.75" customHeight="1" x14ac:dyDescent="0.2">
      <c r="C63237"/>
      <c r="M63237"/>
    </row>
    <row r="63238" spans="3:13" ht="12.75" customHeight="1" x14ac:dyDescent="0.2">
      <c r="C63238"/>
      <c r="M63238"/>
    </row>
    <row r="63239" spans="3:13" ht="12.75" customHeight="1" x14ac:dyDescent="0.2">
      <c r="C63239"/>
      <c r="M63239"/>
    </row>
    <row r="63240" spans="3:13" ht="12.75" customHeight="1" x14ac:dyDescent="0.2">
      <c r="C63240"/>
      <c r="M63240"/>
    </row>
    <row r="63241" spans="3:13" ht="12.75" customHeight="1" x14ac:dyDescent="0.2">
      <c r="C63241"/>
      <c r="M63241"/>
    </row>
    <row r="63242" spans="3:13" ht="12.75" customHeight="1" x14ac:dyDescent="0.2">
      <c r="C63242"/>
      <c r="M63242"/>
    </row>
    <row r="63243" spans="3:13" ht="12.75" customHeight="1" x14ac:dyDescent="0.2">
      <c r="C63243"/>
      <c r="M63243"/>
    </row>
    <row r="63244" spans="3:13" ht="12.75" customHeight="1" x14ac:dyDescent="0.2">
      <c r="C63244"/>
      <c r="M63244"/>
    </row>
    <row r="63245" spans="3:13" ht="12.75" customHeight="1" x14ac:dyDescent="0.2">
      <c r="C63245"/>
      <c r="M63245"/>
    </row>
    <row r="63246" spans="3:13" ht="12.75" customHeight="1" x14ac:dyDescent="0.2">
      <c r="C63246"/>
      <c r="M63246"/>
    </row>
    <row r="63247" spans="3:13" ht="12.75" customHeight="1" x14ac:dyDescent="0.2">
      <c r="C63247"/>
      <c r="M63247"/>
    </row>
    <row r="63248" spans="3:13" ht="12.75" customHeight="1" x14ac:dyDescent="0.2">
      <c r="C63248"/>
      <c r="M63248"/>
    </row>
    <row r="63249" spans="3:13" ht="12.75" customHeight="1" x14ac:dyDescent="0.2">
      <c r="C63249"/>
      <c r="M63249"/>
    </row>
    <row r="63250" spans="3:13" ht="12.75" customHeight="1" x14ac:dyDescent="0.2">
      <c r="C63250"/>
      <c r="M63250"/>
    </row>
    <row r="63251" spans="3:13" ht="12.75" customHeight="1" x14ac:dyDescent="0.2">
      <c r="C63251"/>
      <c r="M63251"/>
    </row>
    <row r="63252" spans="3:13" ht="12.75" customHeight="1" x14ac:dyDescent="0.2">
      <c r="C63252"/>
      <c r="M63252"/>
    </row>
    <row r="63253" spans="3:13" ht="12.75" customHeight="1" x14ac:dyDescent="0.2">
      <c r="C63253"/>
      <c r="M63253"/>
    </row>
    <row r="63254" spans="3:13" ht="12.75" customHeight="1" x14ac:dyDescent="0.2">
      <c r="C63254"/>
      <c r="M63254"/>
    </row>
    <row r="63255" spans="3:13" ht="12.75" customHeight="1" x14ac:dyDescent="0.2">
      <c r="C63255"/>
      <c r="M63255"/>
    </row>
    <row r="63256" spans="3:13" ht="12.75" customHeight="1" x14ac:dyDescent="0.2">
      <c r="C63256"/>
      <c r="M63256"/>
    </row>
    <row r="63257" spans="3:13" ht="12.75" customHeight="1" x14ac:dyDescent="0.2">
      <c r="C63257"/>
      <c r="M63257"/>
    </row>
    <row r="63258" spans="3:13" ht="12.75" customHeight="1" x14ac:dyDescent="0.2">
      <c r="C63258"/>
      <c r="M63258"/>
    </row>
    <row r="63259" spans="3:13" ht="12.75" customHeight="1" x14ac:dyDescent="0.2">
      <c r="C63259"/>
      <c r="M63259"/>
    </row>
    <row r="63260" spans="3:13" ht="12.75" customHeight="1" x14ac:dyDescent="0.2">
      <c r="C63260"/>
      <c r="M63260"/>
    </row>
    <row r="63261" spans="3:13" ht="12.75" customHeight="1" x14ac:dyDescent="0.2">
      <c r="C63261"/>
      <c r="M63261"/>
    </row>
    <row r="63262" spans="3:13" ht="12.75" customHeight="1" x14ac:dyDescent="0.2">
      <c r="C63262"/>
      <c r="M63262"/>
    </row>
    <row r="63263" spans="3:13" ht="12.75" customHeight="1" x14ac:dyDescent="0.2">
      <c r="C63263"/>
      <c r="M63263"/>
    </row>
    <row r="63264" spans="3:13" ht="12.75" customHeight="1" x14ac:dyDescent="0.2">
      <c r="C63264"/>
      <c r="M63264"/>
    </row>
    <row r="63265" spans="3:13" ht="12.75" customHeight="1" x14ac:dyDescent="0.2">
      <c r="C63265"/>
      <c r="M63265"/>
    </row>
    <row r="63266" spans="3:13" ht="12.75" customHeight="1" x14ac:dyDescent="0.2">
      <c r="C63266"/>
      <c r="M63266"/>
    </row>
    <row r="63267" spans="3:13" ht="12.75" customHeight="1" x14ac:dyDescent="0.2">
      <c r="C63267"/>
      <c r="M63267"/>
    </row>
    <row r="63268" spans="3:13" ht="12.75" customHeight="1" x14ac:dyDescent="0.2">
      <c r="C63268"/>
      <c r="M63268"/>
    </row>
    <row r="63269" spans="3:13" ht="12.75" customHeight="1" x14ac:dyDescent="0.2">
      <c r="C63269"/>
      <c r="M63269"/>
    </row>
    <row r="63270" spans="3:13" ht="12.75" customHeight="1" x14ac:dyDescent="0.2">
      <c r="C63270"/>
      <c r="M63270"/>
    </row>
    <row r="63271" spans="3:13" ht="12.75" customHeight="1" x14ac:dyDescent="0.2">
      <c r="C63271"/>
      <c r="M63271"/>
    </row>
    <row r="63272" spans="3:13" ht="12.75" customHeight="1" x14ac:dyDescent="0.2">
      <c r="C63272"/>
      <c r="M63272"/>
    </row>
    <row r="63273" spans="3:13" ht="12.75" customHeight="1" x14ac:dyDescent="0.2">
      <c r="C63273"/>
      <c r="M63273"/>
    </row>
    <row r="63274" spans="3:13" ht="12.75" customHeight="1" x14ac:dyDescent="0.2">
      <c r="C63274"/>
      <c r="M63274"/>
    </row>
    <row r="63275" spans="3:13" ht="12.75" customHeight="1" x14ac:dyDescent="0.2">
      <c r="C63275"/>
      <c r="M63275"/>
    </row>
    <row r="63276" spans="3:13" ht="12.75" customHeight="1" x14ac:dyDescent="0.2">
      <c r="C63276"/>
      <c r="M63276"/>
    </row>
    <row r="63277" spans="3:13" ht="12.75" customHeight="1" x14ac:dyDescent="0.2">
      <c r="C63277"/>
      <c r="M63277"/>
    </row>
    <row r="63278" spans="3:13" ht="12.75" customHeight="1" x14ac:dyDescent="0.2">
      <c r="C63278"/>
      <c r="M63278"/>
    </row>
    <row r="63279" spans="3:13" ht="12.75" customHeight="1" x14ac:dyDescent="0.2">
      <c r="C63279"/>
      <c r="M63279"/>
    </row>
    <row r="63280" spans="3:13" ht="12.75" customHeight="1" x14ac:dyDescent="0.2">
      <c r="C63280"/>
      <c r="M63280"/>
    </row>
    <row r="63281" spans="3:13" ht="12.75" customHeight="1" x14ac:dyDescent="0.2">
      <c r="C63281"/>
      <c r="M63281"/>
    </row>
    <row r="63282" spans="3:13" ht="12.75" customHeight="1" x14ac:dyDescent="0.2">
      <c r="C63282"/>
      <c r="M63282"/>
    </row>
    <row r="63283" spans="3:13" ht="12.75" customHeight="1" x14ac:dyDescent="0.2">
      <c r="C63283"/>
      <c r="M63283"/>
    </row>
    <row r="63284" spans="3:13" ht="12.75" customHeight="1" x14ac:dyDescent="0.2">
      <c r="C63284"/>
      <c r="M63284"/>
    </row>
    <row r="63285" spans="3:13" ht="12.75" customHeight="1" x14ac:dyDescent="0.2">
      <c r="C63285"/>
      <c r="M63285"/>
    </row>
    <row r="63286" spans="3:13" ht="12.75" customHeight="1" x14ac:dyDescent="0.2">
      <c r="C63286"/>
      <c r="M63286"/>
    </row>
    <row r="63287" spans="3:13" ht="12.75" customHeight="1" x14ac:dyDescent="0.2">
      <c r="C63287"/>
      <c r="M63287"/>
    </row>
    <row r="63288" spans="3:13" ht="12.75" customHeight="1" x14ac:dyDescent="0.2">
      <c r="C63288"/>
      <c r="M63288"/>
    </row>
    <row r="63289" spans="3:13" ht="12.75" customHeight="1" x14ac:dyDescent="0.2">
      <c r="C63289"/>
      <c r="M63289"/>
    </row>
    <row r="63290" spans="3:13" ht="12.75" customHeight="1" x14ac:dyDescent="0.2">
      <c r="C63290"/>
      <c r="M63290"/>
    </row>
    <row r="63291" spans="3:13" ht="12.75" customHeight="1" x14ac:dyDescent="0.2">
      <c r="C63291"/>
      <c r="M63291"/>
    </row>
    <row r="63292" spans="3:13" ht="12.75" customHeight="1" x14ac:dyDescent="0.2">
      <c r="C63292"/>
      <c r="M63292"/>
    </row>
    <row r="63293" spans="3:13" ht="12.75" customHeight="1" x14ac:dyDescent="0.2">
      <c r="C63293"/>
      <c r="M63293"/>
    </row>
    <row r="63294" spans="3:13" ht="12.75" customHeight="1" x14ac:dyDescent="0.2">
      <c r="C63294"/>
      <c r="M63294"/>
    </row>
    <row r="63295" spans="3:13" ht="12.75" customHeight="1" x14ac:dyDescent="0.2">
      <c r="C63295"/>
      <c r="M63295"/>
    </row>
    <row r="63296" spans="3:13" ht="12.75" customHeight="1" x14ac:dyDescent="0.2">
      <c r="C63296"/>
      <c r="M63296"/>
    </row>
    <row r="63297" spans="3:13" ht="12.75" customHeight="1" x14ac:dyDescent="0.2">
      <c r="C63297"/>
      <c r="M63297"/>
    </row>
    <row r="63298" spans="3:13" ht="12.75" customHeight="1" x14ac:dyDescent="0.2">
      <c r="C63298"/>
      <c r="M63298"/>
    </row>
    <row r="63299" spans="3:13" ht="12.75" customHeight="1" x14ac:dyDescent="0.2">
      <c r="C63299"/>
      <c r="M63299"/>
    </row>
    <row r="63300" spans="3:13" ht="12.75" customHeight="1" x14ac:dyDescent="0.2">
      <c r="C63300"/>
      <c r="M63300"/>
    </row>
    <row r="63301" spans="3:13" ht="12.75" customHeight="1" x14ac:dyDescent="0.2">
      <c r="C63301"/>
      <c r="M63301"/>
    </row>
    <row r="63302" spans="3:13" ht="12.75" customHeight="1" x14ac:dyDescent="0.2">
      <c r="C63302"/>
      <c r="M63302"/>
    </row>
    <row r="63303" spans="3:13" ht="12.75" customHeight="1" x14ac:dyDescent="0.2">
      <c r="C63303"/>
      <c r="M63303"/>
    </row>
    <row r="63304" spans="3:13" ht="12.75" customHeight="1" x14ac:dyDescent="0.2">
      <c r="C63304"/>
      <c r="M63304"/>
    </row>
    <row r="63305" spans="3:13" ht="12.75" customHeight="1" x14ac:dyDescent="0.2">
      <c r="C63305"/>
      <c r="M63305"/>
    </row>
    <row r="63306" spans="3:13" ht="12.75" customHeight="1" x14ac:dyDescent="0.2">
      <c r="C63306"/>
      <c r="M63306"/>
    </row>
    <row r="63307" spans="3:13" ht="12.75" customHeight="1" x14ac:dyDescent="0.2">
      <c r="C63307"/>
      <c r="M63307"/>
    </row>
    <row r="63308" spans="3:13" ht="12.75" customHeight="1" x14ac:dyDescent="0.2">
      <c r="C63308"/>
      <c r="M63308"/>
    </row>
    <row r="63309" spans="3:13" ht="12.75" customHeight="1" x14ac:dyDescent="0.2">
      <c r="C63309"/>
      <c r="M63309"/>
    </row>
    <row r="63310" spans="3:13" ht="12.75" customHeight="1" x14ac:dyDescent="0.2">
      <c r="C63310"/>
      <c r="M63310"/>
    </row>
    <row r="63311" spans="3:13" ht="12.75" customHeight="1" x14ac:dyDescent="0.2">
      <c r="C63311"/>
      <c r="M63311"/>
    </row>
    <row r="63312" spans="3:13" ht="12.75" customHeight="1" x14ac:dyDescent="0.2">
      <c r="C63312"/>
      <c r="M63312"/>
    </row>
    <row r="63313" spans="3:13" ht="12.75" customHeight="1" x14ac:dyDescent="0.2">
      <c r="C63313"/>
      <c r="M63313"/>
    </row>
    <row r="63314" spans="3:13" ht="12.75" customHeight="1" x14ac:dyDescent="0.2">
      <c r="C63314"/>
      <c r="M63314"/>
    </row>
    <row r="63315" spans="3:13" ht="12.75" customHeight="1" x14ac:dyDescent="0.2">
      <c r="C63315"/>
      <c r="M63315"/>
    </row>
    <row r="63316" spans="3:13" ht="12.75" customHeight="1" x14ac:dyDescent="0.2">
      <c r="C63316"/>
      <c r="M63316"/>
    </row>
    <row r="63317" spans="3:13" ht="12.75" customHeight="1" x14ac:dyDescent="0.2">
      <c r="C63317"/>
      <c r="M63317"/>
    </row>
    <row r="63318" spans="3:13" ht="12.75" customHeight="1" x14ac:dyDescent="0.2">
      <c r="C63318"/>
      <c r="M63318"/>
    </row>
    <row r="63319" spans="3:13" ht="12.75" customHeight="1" x14ac:dyDescent="0.2">
      <c r="C63319"/>
      <c r="M63319"/>
    </row>
    <row r="63320" spans="3:13" ht="12.75" customHeight="1" x14ac:dyDescent="0.2">
      <c r="C63320"/>
      <c r="M63320"/>
    </row>
    <row r="63321" spans="3:13" ht="12.75" customHeight="1" x14ac:dyDescent="0.2">
      <c r="C63321"/>
      <c r="M63321"/>
    </row>
    <row r="63322" spans="3:13" ht="12.75" customHeight="1" x14ac:dyDescent="0.2">
      <c r="C63322"/>
      <c r="M63322"/>
    </row>
    <row r="63323" spans="3:13" ht="12.75" customHeight="1" x14ac:dyDescent="0.2">
      <c r="C63323"/>
      <c r="M63323"/>
    </row>
    <row r="63324" spans="3:13" ht="12.75" customHeight="1" x14ac:dyDescent="0.2">
      <c r="C63324"/>
      <c r="M63324"/>
    </row>
    <row r="63325" spans="3:13" ht="12.75" customHeight="1" x14ac:dyDescent="0.2">
      <c r="C63325"/>
      <c r="M63325"/>
    </row>
    <row r="63326" spans="3:13" ht="12.75" customHeight="1" x14ac:dyDescent="0.2">
      <c r="C63326"/>
      <c r="M63326"/>
    </row>
    <row r="63327" spans="3:13" ht="12.75" customHeight="1" x14ac:dyDescent="0.2">
      <c r="C63327"/>
      <c r="M63327"/>
    </row>
    <row r="63328" spans="3:13" ht="12.75" customHeight="1" x14ac:dyDescent="0.2">
      <c r="C63328"/>
      <c r="M63328"/>
    </row>
    <row r="63329" spans="3:13" ht="12.75" customHeight="1" x14ac:dyDescent="0.2">
      <c r="C63329"/>
      <c r="M63329"/>
    </row>
    <row r="63330" spans="3:13" ht="12.75" customHeight="1" x14ac:dyDescent="0.2">
      <c r="C63330"/>
      <c r="M63330"/>
    </row>
    <row r="63331" spans="3:13" ht="12.75" customHeight="1" x14ac:dyDescent="0.2">
      <c r="C63331"/>
      <c r="M63331"/>
    </row>
    <row r="63332" spans="3:13" ht="12.75" customHeight="1" x14ac:dyDescent="0.2">
      <c r="C63332"/>
      <c r="M63332"/>
    </row>
    <row r="63333" spans="3:13" ht="12.75" customHeight="1" x14ac:dyDescent="0.2">
      <c r="C63333"/>
      <c r="M63333"/>
    </row>
    <row r="63334" spans="3:13" ht="12.75" customHeight="1" x14ac:dyDescent="0.2">
      <c r="C63334"/>
      <c r="M63334"/>
    </row>
    <row r="63335" spans="3:13" ht="12.75" customHeight="1" x14ac:dyDescent="0.2">
      <c r="C63335"/>
      <c r="M63335"/>
    </row>
    <row r="63336" spans="3:13" ht="12.75" customHeight="1" x14ac:dyDescent="0.2">
      <c r="C63336"/>
      <c r="M63336"/>
    </row>
    <row r="63337" spans="3:13" ht="12.75" customHeight="1" x14ac:dyDescent="0.2">
      <c r="C63337"/>
      <c r="M63337"/>
    </row>
    <row r="63338" spans="3:13" ht="12.75" customHeight="1" x14ac:dyDescent="0.2">
      <c r="C63338"/>
      <c r="M63338"/>
    </row>
    <row r="63339" spans="3:13" ht="12.75" customHeight="1" x14ac:dyDescent="0.2">
      <c r="C63339"/>
      <c r="M63339"/>
    </row>
    <row r="63340" spans="3:13" ht="12.75" customHeight="1" x14ac:dyDescent="0.2">
      <c r="C63340"/>
      <c r="M63340"/>
    </row>
    <row r="63341" spans="3:13" ht="12.75" customHeight="1" x14ac:dyDescent="0.2">
      <c r="C63341"/>
      <c r="M63341"/>
    </row>
    <row r="63342" spans="3:13" ht="12.75" customHeight="1" x14ac:dyDescent="0.2">
      <c r="C63342"/>
      <c r="M63342"/>
    </row>
    <row r="63343" spans="3:13" ht="12.75" customHeight="1" x14ac:dyDescent="0.2">
      <c r="C63343"/>
      <c r="M63343"/>
    </row>
    <row r="63344" spans="3:13" ht="12.75" customHeight="1" x14ac:dyDescent="0.2">
      <c r="C63344"/>
      <c r="M63344"/>
    </row>
    <row r="63345" spans="3:13" ht="12.75" customHeight="1" x14ac:dyDescent="0.2">
      <c r="C63345"/>
      <c r="M63345"/>
    </row>
    <row r="63346" spans="3:13" ht="12.75" customHeight="1" x14ac:dyDescent="0.2">
      <c r="C63346"/>
      <c r="M63346"/>
    </row>
    <row r="63347" spans="3:13" ht="12.75" customHeight="1" x14ac:dyDescent="0.2">
      <c r="C63347"/>
      <c r="M63347"/>
    </row>
    <row r="63348" spans="3:13" ht="12.75" customHeight="1" x14ac:dyDescent="0.2">
      <c r="C63348"/>
      <c r="M63348"/>
    </row>
    <row r="63349" spans="3:13" ht="12.75" customHeight="1" x14ac:dyDescent="0.2">
      <c r="C63349"/>
      <c r="M63349"/>
    </row>
    <row r="63350" spans="3:13" ht="12.75" customHeight="1" x14ac:dyDescent="0.2">
      <c r="C63350"/>
      <c r="M63350"/>
    </row>
    <row r="63351" spans="3:13" ht="12.75" customHeight="1" x14ac:dyDescent="0.2">
      <c r="C63351"/>
      <c r="M63351"/>
    </row>
    <row r="63352" spans="3:13" ht="12.75" customHeight="1" x14ac:dyDescent="0.2">
      <c r="C63352"/>
      <c r="M63352"/>
    </row>
    <row r="63353" spans="3:13" ht="12.75" customHeight="1" x14ac:dyDescent="0.2">
      <c r="C63353"/>
      <c r="M63353"/>
    </row>
    <row r="63354" spans="3:13" ht="12.75" customHeight="1" x14ac:dyDescent="0.2">
      <c r="C63354"/>
      <c r="M63354"/>
    </row>
    <row r="63355" spans="3:13" ht="12.75" customHeight="1" x14ac:dyDescent="0.2">
      <c r="C63355"/>
      <c r="M63355"/>
    </row>
    <row r="63356" spans="3:13" ht="12.75" customHeight="1" x14ac:dyDescent="0.2">
      <c r="C63356"/>
      <c r="M63356"/>
    </row>
    <row r="63357" spans="3:13" ht="12.75" customHeight="1" x14ac:dyDescent="0.2">
      <c r="C63357"/>
      <c r="M63357"/>
    </row>
    <row r="63358" spans="3:13" ht="12.75" customHeight="1" x14ac:dyDescent="0.2">
      <c r="C63358"/>
      <c r="M63358"/>
    </row>
    <row r="63359" spans="3:13" ht="12.75" customHeight="1" x14ac:dyDescent="0.2">
      <c r="C63359"/>
      <c r="M63359"/>
    </row>
    <row r="63360" spans="3:13" ht="12.75" customHeight="1" x14ac:dyDescent="0.2">
      <c r="C63360"/>
      <c r="M63360"/>
    </row>
    <row r="63361" spans="3:13" ht="12.75" customHeight="1" x14ac:dyDescent="0.2">
      <c r="C63361"/>
      <c r="M63361"/>
    </row>
    <row r="63362" spans="3:13" ht="12.75" customHeight="1" x14ac:dyDescent="0.2">
      <c r="C63362"/>
      <c r="M63362"/>
    </row>
    <row r="63363" spans="3:13" ht="12.75" customHeight="1" x14ac:dyDescent="0.2">
      <c r="C63363"/>
      <c r="M63363"/>
    </row>
    <row r="63364" spans="3:13" ht="12.75" customHeight="1" x14ac:dyDescent="0.2">
      <c r="C63364"/>
      <c r="M63364"/>
    </row>
    <row r="63365" spans="3:13" ht="12.75" customHeight="1" x14ac:dyDescent="0.2">
      <c r="C63365"/>
      <c r="M63365"/>
    </row>
    <row r="63366" spans="3:13" ht="12.75" customHeight="1" x14ac:dyDescent="0.2">
      <c r="C63366"/>
      <c r="M63366"/>
    </row>
    <row r="63367" spans="3:13" ht="12.75" customHeight="1" x14ac:dyDescent="0.2">
      <c r="C63367"/>
      <c r="M63367"/>
    </row>
    <row r="63368" spans="3:13" ht="12.75" customHeight="1" x14ac:dyDescent="0.2">
      <c r="C63368"/>
      <c r="M63368"/>
    </row>
    <row r="63369" spans="3:13" ht="12.75" customHeight="1" x14ac:dyDescent="0.2">
      <c r="C63369"/>
      <c r="M63369"/>
    </row>
    <row r="63370" spans="3:13" ht="12.75" customHeight="1" x14ac:dyDescent="0.2">
      <c r="C63370"/>
      <c r="M63370"/>
    </row>
    <row r="63371" spans="3:13" ht="12.75" customHeight="1" x14ac:dyDescent="0.2">
      <c r="C63371"/>
      <c r="M63371"/>
    </row>
    <row r="63372" spans="3:13" ht="12.75" customHeight="1" x14ac:dyDescent="0.2">
      <c r="C63372"/>
      <c r="M63372"/>
    </row>
    <row r="63373" spans="3:13" ht="12.75" customHeight="1" x14ac:dyDescent="0.2">
      <c r="C63373"/>
      <c r="M63373"/>
    </row>
    <row r="63374" spans="3:13" ht="12.75" customHeight="1" x14ac:dyDescent="0.2">
      <c r="C63374"/>
      <c r="M63374"/>
    </row>
    <row r="63375" spans="3:13" ht="12.75" customHeight="1" x14ac:dyDescent="0.2">
      <c r="C63375"/>
      <c r="M63375"/>
    </row>
    <row r="63376" spans="3:13" ht="12.75" customHeight="1" x14ac:dyDescent="0.2">
      <c r="C63376"/>
      <c r="M63376"/>
    </row>
    <row r="63377" spans="3:13" ht="12.75" customHeight="1" x14ac:dyDescent="0.2">
      <c r="C63377"/>
      <c r="M63377"/>
    </row>
    <row r="63378" spans="3:13" ht="12.75" customHeight="1" x14ac:dyDescent="0.2">
      <c r="C63378"/>
      <c r="M63378"/>
    </row>
    <row r="63379" spans="3:13" ht="12.75" customHeight="1" x14ac:dyDescent="0.2">
      <c r="C63379"/>
      <c r="M63379"/>
    </row>
    <row r="63380" spans="3:13" ht="12.75" customHeight="1" x14ac:dyDescent="0.2">
      <c r="C63380"/>
      <c r="M63380"/>
    </row>
    <row r="63381" spans="3:13" ht="12.75" customHeight="1" x14ac:dyDescent="0.2">
      <c r="C63381"/>
      <c r="M63381"/>
    </row>
    <row r="63382" spans="3:13" ht="12.75" customHeight="1" x14ac:dyDescent="0.2">
      <c r="C63382"/>
      <c r="M63382"/>
    </row>
    <row r="63383" spans="3:13" ht="12.75" customHeight="1" x14ac:dyDescent="0.2">
      <c r="C63383"/>
      <c r="M63383"/>
    </row>
    <row r="63384" spans="3:13" ht="12.75" customHeight="1" x14ac:dyDescent="0.2">
      <c r="C63384"/>
      <c r="M63384"/>
    </row>
    <row r="63385" spans="3:13" ht="12.75" customHeight="1" x14ac:dyDescent="0.2">
      <c r="C63385"/>
      <c r="M63385"/>
    </row>
    <row r="63386" spans="3:13" ht="12.75" customHeight="1" x14ac:dyDescent="0.2">
      <c r="C63386"/>
      <c r="M63386"/>
    </row>
    <row r="63387" spans="3:13" ht="12.75" customHeight="1" x14ac:dyDescent="0.2">
      <c r="C63387"/>
      <c r="M63387"/>
    </row>
    <row r="63388" spans="3:13" ht="12.75" customHeight="1" x14ac:dyDescent="0.2">
      <c r="C63388"/>
      <c r="M63388"/>
    </row>
    <row r="63389" spans="3:13" ht="12.75" customHeight="1" x14ac:dyDescent="0.2">
      <c r="C63389"/>
      <c r="M63389"/>
    </row>
    <row r="63390" spans="3:13" ht="12.75" customHeight="1" x14ac:dyDescent="0.2">
      <c r="C63390"/>
      <c r="M63390"/>
    </row>
    <row r="63391" spans="3:13" ht="12.75" customHeight="1" x14ac:dyDescent="0.2">
      <c r="C63391"/>
      <c r="M63391"/>
    </row>
    <row r="63392" spans="3:13" ht="12.75" customHeight="1" x14ac:dyDescent="0.2">
      <c r="C63392"/>
      <c r="M63392"/>
    </row>
    <row r="63393" spans="3:13" ht="12.75" customHeight="1" x14ac:dyDescent="0.2">
      <c r="C63393"/>
      <c r="M63393"/>
    </row>
    <row r="63394" spans="3:13" ht="12.75" customHeight="1" x14ac:dyDescent="0.2">
      <c r="C63394"/>
      <c r="M63394"/>
    </row>
    <row r="63395" spans="3:13" ht="12.75" customHeight="1" x14ac:dyDescent="0.2">
      <c r="C63395"/>
      <c r="M63395"/>
    </row>
    <row r="63396" spans="3:13" ht="12.75" customHeight="1" x14ac:dyDescent="0.2">
      <c r="C63396"/>
      <c r="M63396"/>
    </row>
    <row r="63397" spans="3:13" ht="12.75" customHeight="1" x14ac:dyDescent="0.2">
      <c r="C63397"/>
      <c r="M63397"/>
    </row>
    <row r="63398" spans="3:13" ht="12.75" customHeight="1" x14ac:dyDescent="0.2">
      <c r="C63398"/>
      <c r="M63398"/>
    </row>
    <row r="63399" spans="3:13" ht="12.75" customHeight="1" x14ac:dyDescent="0.2">
      <c r="C63399"/>
      <c r="M63399"/>
    </row>
    <row r="63400" spans="3:13" ht="12.75" customHeight="1" x14ac:dyDescent="0.2">
      <c r="C63400"/>
      <c r="M63400"/>
    </row>
    <row r="63401" spans="3:13" ht="12.75" customHeight="1" x14ac:dyDescent="0.2">
      <c r="C63401"/>
      <c r="M63401"/>
    </row>
    <row r="63402" spans="3:13" ht="12.75" customHeight="1" x14ac:dyDescent="0.2">
      <c r="C63402"/>
      <c r="M63402"/>
    </row>
    <row r="63403" spans="3:13" ht="12.75" customHeight="1" x14ac:dyDescent="0.2">
      <c r="C63403"/>
      <c r="M63403"/>
    </row>
    <row r="63404" spans="3:13" ht="12.75" customHeight="1" x14ac:dyDescent="0.2">
      <c r="C63404"/>
      <c r="M63404"/>
    </row>
    <row r="63405" spans="3:13" ht="12.75" customHeight="1" x14ac:dyDescent="0.2">
      <c r="C63405"/>
      <c r="M63405"/>
    </row>
    <row r="63406" spans="3:13" ht="12.75" customHeight="1" x14ac:dyDescent="0.2">
      <c r="C63406"/>
      <c r="M63406"/>
    </row>
    <row r="63407" spans="3:13" ht="12.75" customHeight="1" x14ac:dyDescent="0.2">
      <c r="C63407"/>
      <c r="M63407"/>
    </row>
    <row r="63408" spans="3:13" ht="12.75" customHeight="1" x14ac:dyDescent="0.2">
      <c r="C63408"/>
      <c r="M63408"/>
    </row>
    <row r="63409" spans="3:13" ht="12.75" customHeight="1" x14ac:dyDescent="0.2">
      <c r="C63409"/>
      <c r="M63409"/>
    </row>
    <row r="63410" spans="3:13" ht="12.75" customHeight="1" x14ac:dyDescent="0.2">
      <c r="C63410"/>
      <c r="M63410"/>
    </row>
    <row r="63411" spans="3:13" ht="12.75" customHeight="1" x14ac:dyDescent="0.2">
      <c r="C63411"/>
      <c r="M63411"/>
    </row>
    <row r="63412" spans="3:13" ht="12.75" customHeight="1" x14ac:dyDescent="0.2">
      <c r="C63412"/>
      <c r="M63412"/>
    </row>
    <row r="63413" spans="3:13" ht="12.75" customHeight="1" x14ac:dyDescent="0.2">
      <c r="C63413"/>
      <c r="M63413"/>
    </row>
    <row r="63414" spans="3:13" ht="12.75" customHeight="1" x14ac:dyDescent="0.2">
      <c r="C63414"/>
      <c r="M63414"/>
    </row>
    <row r="63415" spans="3:13" ht="12.75" customHeight="1" x14ac:dyDescent="0.2">
      <c r="C63415"/>
      <c r="M63415"/>
    </row>
    <row r="63416" spans="3:13" ht="12.75" customHeight="1" x14ac:dyDescent="0.2">
      <c r="C63416"/>
      <c r="M63416"/>
    </row>
    <row r="63417" spans="3:13" ht="12.75" customHeight="1" x14ac:dyDescent="0.2">
      <c r="C63417"/>
      <c r="M63417"/>
    </row>
    <row r="63418" spans="3:13" ht="12.75" customHeight="1" x14ac:dyDescent="0.2">
      <c r="C63418"/>
      <c r="M63418"/>
    </row>
    <row r="63419" spans="3:13" ht="12.75" customHeight="1" x14ac:dyDescent="0.2">
      <c r="C63419"/>
      <c r="M63419"/>
    </row>
    <row r="63420" spans="3:13" ht="12.75" customHeight="1" x14ac:dyDescent="0.2">
      <c r="C63420"/>
      <c r="M63420"/>
    </row>
    <row r="63421" spans="3:13" ht="12.75" customHeight="1" x14ac:dyDescent="0.2">
      <c r="C63421"/>
      <c r="M63421"/>
    </row>
    <row r="63422" spans="3:13" ht="12.75" customHeight="1" x14ac:dyDescent="0.2">
      <c r="C63422"/>
      <c r="M63422"/>
    </row>
    <row r="63423" spans="3:13" ht="12.75" customHeight="1" x14ac:dyDescent="0.2">
      <c r="C63423"/>
      <c r="M63423"/>
    </row>
    <row r="63424" spans="3:13" ht="12.75" customHeight="1" x14ac:dyDescent="0.2">
      <c r="C63424"/>
      <c r="M63424"/>
    </row>
    <row r="63425" spans="3:13" ht="12.75" customHeight="1" x14ac:dyDescent="0.2">
      <c r="C63425"/>
      <c r="M63425"/>
    </row>
    <row r="63426" spans="3:13" ht="12.75" customHeight="1" x14ac:dyDescent="0.2">
      <c r="C63426"/>
      <c r="M63426"/>
    </row>
    <row r="63427" spans="3:13" ht="12.75" customHeight="1" x14ac:dyDescent="0.2">
      <c r="C63427"/>
      <c r="M63427"/>
    </row>
    <row r="63428" spans="3:13" ht="12.75" customHeight="1" x14ac:dyDescent="0.2">
      <c r="C63428"/>
      <c r="M63428"/>
    </row>
    <row r="63429" spans="3:13" ht="12.75" customHeight="1" x14ac:dyDescent="0.2">
      <c r="C63429"/>
      <c r="M63429"/>
    </row>
    <row r="63430" spans="3:13" ht="12.75" customHeight="1" x14ac:dyDescent="0.2">
      <c r="C63430"/>
      <c r="M63430"/>
    </row>
    <row r="63431" spans="3:13" ht="12.75" customHeight="1" x14ac:dyDescent="0.2">
      <c r="C63431"/>
      <c r="M63431"/>
    </row>
    <row r="63432" spans="3:13" ht="12.75" customHeight="1" x14ac:dyDescent="0.2">
      <c r="C63432"/>
      <c r="M63432"/>
    </row>
    <row r="63433" spans="3:13" ht="12.75" customHeight="1" x14ac:dyDescent="0.2">
      <c r="C63433"/>
      <c r="M63433"/>
    </row>
    <row r="63434" spans="3:13" ht="12.75" customHeight="1" x14ac:dyDescent="0.2">
      <c r="C63434"/>
      <c r="M63434"/>
    </row>
    <row r="63435" spans="3:13" ht="12.75" customHeight="1" x14ac:dyDescent="0.2">
      <c r="C63435"/>
      <c r="M63435"/>
    </row>
    <row r="63436" spans="3:13" ht="12.75" customHeight="1" x14ac:dyDescent="0.2">
      <c r="C63436"/>
      <c r="M63436"/>
    </row>
    <row r="63437" spans="3:13" ht="12.75" customHeight="1" x14ac:dyDescent="0.2">
      <c r="C63437"/>
      <c r="M63437"/>
    </row>
    <row r="63438" spans="3:13" ht="12.75" customHeight="1" x14ac:dyDescent="0.2">
      <c r="C63438"/>
      <c r="M63438"/>
    </row>
    <row r="63439" spans="3:13" ht="12.75" customHeight="1" x14ac:dyDescent="0.2">
      <c r="C63439"/>
      <c r="M63439"/>
    </row>
    <row r="63440" spans="3:13" ht="12.75" customHeight="1" x14ac:dyDescent="0.2">
      <c r="C63440"/>
      <c r="M63440"/>
    </row>
    <row r="63441" spans="3:13" ht="12.75" customHeight="1" x14ac:dyDescent="0.2">
      <c r="C63441"/>
      <c r="M63441"/>
    </row>
    <row r="63442" spans="3:13" ht="12.75" customHeight="1" x14ac:dyDescent="0.2">
      <c r="C63442"/>
      <c r="M63442"/>
    </row>
    <row r="63443" spans="3:13" ht="12.75" customHeight="1" x14ac:dyDescent="0.2">
      <c r="C63443"/>
      <c r="M63443"/>
    </row>
    <row r="63444" spans="3:13" ht="12.75" customHeight="1" x14ac:dyDescent="0.2">
      <c r="C63444"/>
      <c r="M63444"/>
    </row>
    <row r="63445" spans="3:13" ht="12.75" customHeight="1" x14ac:dyDescent="0.2">
      <c r="C63445"/>
      <c r="M63445"/>
    </row>
    <row r="63446" spans="3:13" ht="12.75" customHeight="1" x14ac:dyDescent="0.2">
      <c r="C63446"/>
      <c r="M63446"/>
    </row>
    <row r="63447" spans="3:13" ht="12.75" customHeight="1" x14ac:dyDescent="0.2">
      <c r="C63447"/>
      <c r="M63447"/>
    </row>
    <row r="63448" spans="3:13" ht="12.75" customHeight="1" x14ac:dyDescent="0.2">
      <c r="C63448"/>
      <c r="M63448"/>
    </row>
    <row r="63449" spans="3:13" ht="12.75" customHeight="1" x14ac:dyDescent="0.2">
      <c r="C63449"/>
      <c r="M63449"/>
    </row>
    <row r="63450" spans="3:13" ht="12.75" customHeight="1" x14ac:dyDescent="0.2">
      <c r="C63450"/>
      <c r="M63450"/>
    </row>
    <row r="63451" spans="3:13" ht="12.75" customHeight="1" x14ac:dyDescent="0.2">
      <c r="C63451"/>
      <c r="M63451"/>
    </row>
    <row r="63452" spans="3:13" ht="12.75" customHeight="1" x14ac:dyDescent="0.2">
      <c r="C63452"/>
      <c r="M63452"/>
    </row>
    <row r="63453" spans="3:13" ht="12.75" customHeight="1" x14ac:dyDescent="0.2">
      <c r="C63453"/>
      <c r="M63453"/>
    </row>
    <row r="63454" spans="3:13" ht="12.75" customHeight="1" x14ac:dyDescent="0.2">
      <c r="C63454"/>
      <c r="M63454"/>
    </row>
    <row r="63455" spans="3:13" ht="12.75" customHeight="1" x14ac:dyDescent="0.2">
      <c r="C63455"/>
      <c r="M63455"/>
    </row>
    <row r="63456" spans="3:13" ht="12.75" customHeight="1" x14ac:dyDescent="0.2">
      <c r="C63456"/>
      <c r="M63456"/>
    </row>
    <row r="63457" spans="3:13" ht="12.75" customHeight="1" x14ac:dyDescent="0.2">
      <c r="C63457"/>
      <c r="M63457"/>
    </row>
    <row r="63458" spans="3:13" ht="12.75" customHeight="1" x14ac:dyDescent="0.2">
      <c r="C63458"/>
      <c r="M63458"/>
    </row>
    <row r="63459" spans="3:13" ht="12.75" customHeight="1" x14ac:dyDescent="0.2">
      <c r="C63459"/>
      <c r="M63459"/>
    </row>
    <row r="63460" spans="3:13" ht="12.75" customHeight="1" x14ac:dyDescent="0.2">
      <c r="C63460"/>
      <c r="M63460"/>
    </row>
    <row r="63461" spans="3:13" ht="12.75" customHeight="1" x14ac:dyDescent="0.2">
      <c r="C63461"/>
      <c r="M63461"/>
    </row>
    <row r="63462" spans="3:13" ht="12.75" customHeight="1" x14ac:dyDescent="0.2">
      <c r="C63462"/>
      <c r="M63462"/>
    </row>
    <row r="63463" spans="3:13" ht="12.75" customHeight="1" x14ac:dyDescent="0.2">
      <c r="C63463"/>
      <c r="M63463"/>
    </row>
    <row r="63464" spans="3:13" ht="12.75" customHeight="1" x14ac:dyDescent="0.2">
      <c r="C63464"/>
      <c r="M63464"/>
    </row>
    <row r="63465" spans="3:13" ht="12.75" customHeight="1" x14ac:dyDescent="0.2">
      <c r="C63465"/>
      <c r="M63465"/>
    </row>
    <row r="63466" spans="3:13" ht="12.75" customHeight="1" x14ac:dyDescent="0.2">
      <c r="C63466"/>
      <c r="M63466"/>
    </row>
    <row r="63467" spans="3:13" ht="12.75" customHeight="1" x14ac:dyDescent="0.2">
      <c r="C63467"/>
      <c r="M63467"/>
    </row>
    <row r="63468" spans="3:13" ht="12.75" customHeight="1" x14ac:dyDescent="0.2">
      <c r="C63468"/>
      <c r="M63468"/>
    </row>
    <row r="63469" spans="3:13" ht="12.75" customHeight="1" x14ac:dyDescent="0.2">
      <c r="C63469"/>
      <c r="M63469"/>
    </row>
    <row r="63470" spans="3:13" ht="12.75" customHeight="1" x14ac:dyDescent="0.2">
      <c r="C63470"/>
      <c r="M63470"/>
    </row>
    <row r="63471" spans="3:13" ht="12.75" customHeight="1" x14ac:dyDescent="0.2">
      <c r="C63471"/>
      <c r="M63471"/>
    </row>
    <row r="63472" spans="3:13" ht="12.75" customHeight="1" x14ac:dyDescent="0.2">
      <c r="C63472"/>
      <c r="M63472"/>
    </row>
    <row r="63473" spans="3:13" ht="12.75" customHeight="1" x14ac:dyDescent="0.2">
      <c r="C63473"/>
      <c r="M63473"/>
    </row>
    <row r="63474" spans="3:13" ht="12.75" customHeight="1" x14ac:dyDescent="0.2">
      <c r="C63474"/>
      <c r="M63474"/>
    </row>
    <row r="63475" spans="3:13" ht="12.75" customHeight="1" x14ac:dyDescent="0.2">
      <c r="C63475"/>
      <c r="M63475"/>
    </row>
    <row r="63476" spans="3:13" ht="12.75" customHeight="1" x14ac:dyDescent="0.2">
      <c r="C63476"/>
      <c r="M63476"/>
    </row>
    <row r="63477" spans="3:13" ht="12.75" customHeight="1" x14ac:dyDescent="0.2">
      <c r="C63477"/>
      <c r="M63477"/>
    </row>
    <row r="63478" spans="3:13" ht="12.75" customHeight="1" x14ac:dyDescent="0.2">
      <c r="C63478"/>
      <c r="M63478"/>
    </row>
    <row r="63479" spans="3:13" ht="12.75" customHeight="1" x14ac:dyDescent="0.2">
      <c r="C63479"/>
      <c r="M63479"/>
    </row>
    <row r="63480" spans="3:13" ht="12.75" customHeight="1" x14ac:dyDescent="0.2">
      <c r="C63480"/>
      <c r="M63480"/>
    </row>
    <row r="63481" spans="3:13" ht="12.75" customHeight="1" x14ac:dyDescent="0.2">
      <c r="C63481"/>
      <c r="M63481"/>
    </row>
    <row r="63482" spans="3:13" ht="12.75" customHeight="1" x14ac:dyDescent="0.2">
      <c r="C63482"/>
      <c r="M63482"/>
    </row>
    <row r="63483" spans="3:13" ht="12.75" customHeight="1" x14ac:dyDescent="0.2">
      <c r="C63483"/>
      <c r="M63483"/>
    </row>
    <row r="63484" spans="3:13" ht="12.75" customHeight="1" x14ac:dyDescent="0.2">
      <c r="C63484"/>
      <c r="M63484"/>
    </row>
    <row r="63485" spans="3:13" ht="12.75" customHeight="1" x14ac:dyDescent="0.2">
      <c r="C63485"/>
      <c r="M63485"/>
    </row>
    <row r="63486" spans="3:13" ht="12.75" customHeight="1" x14ac:dyDescent="0.2">
      <c r="C63486"/>
      <c r="M63486"/>
    </row>
    <row r="63487" spans="3:13" ht="12.75" customHeight="1" x14ac:dyDescent="0.2">
      <c r="C63487"/>
      <c r="M63487"/>
    </row>
    <row r="63488" spans="3:13" ht="12.75" customHeight="1" x14ac:dyDescent="0.2">
      <c r="C63488"/>
      <c r="M63488"/>
    </row>
    <row r="63489" spans="3:13" ht="12.75" customHeight="1" x14ac:dyDescent="0.2">
      <c r="C63489"/>
      <c r="M63489"/>
    </row>
    <row r="63490" spans="3:13" ht="12.75" customHeight="1" x14ac:dyDescent="0.2">
      <c r="C63490"/>
      <c r="M63490"/>
    </row>
    <row r="63491" spans="3:13" ht="12.75" customHeight="1" x14ac:dyDescent="0.2">
      <c r="C63491"/>
      <c r="M63491"/>
    </row>
    <row r="63492" spans="3:13" ht="12.75" customHeight="1" x14ac:dyDescent="0.2">
      <c r="C63492"/>
      <c r="M63492"/>
    </row>
    <row r="63493" spans="3:13" ht="12.75" customHeight="1" x14ac:dyDescent="0.2">
      <c r="C63493"/>
      <c r="M63493"/>
    </row>
    <row r="63494" spans="3:13" ht="12.75" customHeight="1" x14ac:dyDescent="0.2">
      <c r="C63494"/>
      <c r="M63494"/>
    </row>
    <row r="63495" spans="3:13" ht="12.75" customHeight="1" x14ac:dyDescent="0.2">
      <c r="C63495"/>
      <c r="M63495"/>
    </row>
    <row r="63496" spans="3:13" ht="12.75" customHeight="1" x14ac:dyDescent="0.2">
      <c r="C63496"/>
      <c r="M63496"/>
    </row>
    <row r="63497" spans="3:13" ht="12.75" customHeight="1" x14ac:dyDescent="0.2">
      <c r="C63497"/>
      <c r="M63497"/>
    </row>
    <row r="63498" spans="3:13" ht="12.75" customHeight="1" x14ac:dyDescent="0.2">
      <c r="C63498"/>
      <c r="M63498"/>
    </row>
    <row r="63499" spans="3:13" ht="12.75" customHeight="1" x14ac:dyDescent="0.2">
      <c r="C63499"/>
      <c r="M63499"/>
    </row>
    <row r="63500" spans="3:13" ht="12.75" customHeight="1" x14ac:dyDescent="0.2">
      <c r="C63500"/>
      <c r="M63500"/>
    </row>
    <row r="63501" spans="3:13" ht="12.75" customHeight="1" x14ac:dyDescent="0.2">
      <c r="C63501"/>
      <c r="M63501"/>
    </row>
    <row r="63502" spans="3:13" ht="12.75" customHeight="1" x14ac:dyDescent="0.2">
      <c r="C63502"/>
      <c r="M63502"/>
    </row>
    <row r="63503" spans="3:13" ht="12.75" customHeight="1" x14ac:dyDescent="0.2">
      <c r="C63503"/>
      <c r="M63503"/>
    </row>
    <row r="63504" spans="3:13" ht="12.75" customHeight="1" x14ac:dyDescent="0.2">
      <c r="C63504"/>
      <c r="M63504"/>
    </row>
    <row r="63505" spans="3:13" ht="12.75" customHeight="1" x14ac:dyDescent="0.2">
      <c r="C63505"/>
      <c r="M63505"/>
    </row>
    <row r="63506" spans="3:13" ht="12.75" customHeight="1" x14ac:dyDescent="0.2">
      <c r="C63506"/>
      <c r="M63506"/>
    </row>
    <row r="63507" spans="3:13" ht="12.75" customHeight="1" x14ac:dyDescent="0.2">
      <c r="C63507"/>
      <c r="M63507"/>
    </row>
    <row r="63508" spans="3:13" ht="12.75" customHeight="1" x14ac:dyDescent="0.2">
      <c r="C63508"/>
      <c r="M63508"/>
    </row>
    <row r="63509" spans="3:13" ht="12.75" customHeight="1" x14ac:dyDescent="0.2">
      <c r="C63509"/>
      <c r="M63509"/>
    </row>
    <row r="63510" spans="3:13" ht="12.75" customHeight="1" x14ac:dyDescent="0.2">
      <c r="C63510"/>
      <c r="M63510"/>
    </row>
    <row r="63511" spans="3:13" ht="12.75" customHeight="1" x14ac:dyDescent="0.2">
      <c r="C63511"/>
      <c r="M63511"/>
    </row>
    <row r="63512" spans="3:13" ht="12.75" customHeight="1" x14ac:dyDescent="0.2">
      <c r="C63512"/>
      <c r="M63512"/>
    </row>
    <row r="63513" spans="3:13" ht="12.75" customHeight="1" x14ac:dyDescent="0.2">
      <c r="C63513"/>
      <c r="M63513"/>
    </row>
    <row r="63514" spans="3:13" ht="12.75" customHeight="1" x14ac:dyDescent="0.2">
      <c r="C63514"/>
      <c r="M63514"/>
    </row>
    <row r="63515" spans="3:13" ht="12.75" customHeight="1" x14ac:dyDescent="0.2">
      <c r="C63515"/>
      <c r="M63515"/>
    </row>
    <row r="63516" spans="3:13" ht="12.75" customHeight="1" x14ac:dyDescent="0.2">
      <c r="C63516"/>
      <c r="M63516"/>
    </row>
    <row r="63517" spans="3:13" ht="12.75" customHeight="1" x14ac:dyDescent="0.2">
      <c r="C63517"/>
      <c r="M63517"/>
    </row>
    <row r="63518" spans="3:13" ht="12.75" customHeight="1" x14ac:dyDescent="0.2">
      <c r="C63518"/>
      <c r="M63518"/>
    </row>
    <row r="63519" spans="3:13" ht="12.75" customHeight="1" x14ac:dyDescent="0.2">
      <c r="C63519"/>
      <c r="M63519"/>
    </row>
    <row r="63520" spans="3:13" ht="12.75" customHeight="1" x14ac:dyDescent="0.2">
      <c r="C63520"/>
      <c r="M63520"/>
    </row>
    <row r="63521" spans="3:13" ht="12.75" customHeight="1" x14ac:dyDescent="0.2">
      <c r="C63521"/>
      <c r="M63521"/>
    </row>
    <row r="63522" spans="3:13" ht="12.75" customHeight="1" x14ac:dyDescent="0.2">
      <c r="C63522"/>
      <c r="M63522"/>
    </row>
    <row r="63523" spans="3:13" ht="12.75" customHeight="1" x14ac:dyDescent="0.2">
      <c r="C63523"/>
      <c r="M63523"/>
    </row>
    <row r="63524" spans="3:13" ht="12.75" customHeight="1" x14ac:dyDescent="0.2">
      <c r="C63524"/>
      <c r="M63524"/>
    </row>
    <row r="63525" spans="3:13" ht="12.75" customHeight="1" x14ac:dyDescent="0.2">
      <c r="C63525"/>
      <c r="M63525"/>
    </row>
    <row r="63526" spans="3:13" ht="12.75" customHeight="1" x14ac:dyDescent="0.2">
      <c r="C63526"/>
      <c r="M63526"/>
    </row>
    <row r="63527" spans="3:13" ht="12.75" customHeight="1" x14ac:dyDescent="0.2">
      <c r="C63527"/>
      <c r="M63527"/>
    </row>
    <row r="63528" spans="3:13" ht="12.75" customHeight="1" x14ac:dyDescent="0.2">
      <c r="C63528"/>
      <c r="M63528"/>
    </row>
    <row r="63529" spans="3:13" ht="12.75" customHeight="1" x14ac:dyDescent="0.2">
      <c r="C63529"/>
      <c r="M63529"/>
    </row>
    <row r="63530" spans="3:13" ht="12.75" customHeight="1" x14ac:dyDescent="0.2">
      <c r="C63530"/>
      <c r="M63530"/>
    </row>
    <row r="63531" spans="3:13" ht="12.75" customHeight="1" x14ac:dyDescent="0.2">
      <c r="C63531"/>
      <c r="M63531"/>
    </row>
    <row r="63532" spans="3:13" ht="12.75" customHeight="1" x14ac:dyDescent="0.2">
      <c r="C63532"/>
      <c r="M63532"/>
    </row>
    <row r="63533" spans="3:13" ht="12.75" customHeight="1" x14ac:dyDescent="0.2">
      <c r="C63533"/>
      <c r="M63533"/>
    </row>
    <row r="63534" spans="3:13" ht="12.75" customHeight="1" x14ac:dyDescent="0.2">
      <c r="C63534"/>
      <c r="M63534"/>
    </row>
    <row r="63535" spans="3:13" ht="12.75" customHeight="1" x14ac:dyDescent="0.2">
      <c r="C63535"/>
      <c r="M63535"/>
    </row>
    <row r="63536" spans="3:13" ht="12.75" customHeight="1" x14ac:dyDescent="0.2">
      <c r="C63536"/>
      <c r="M63536"/>
    </row>
    <row r="63537" spans="3:13" ht="12.75" customHeight="1" x14ac:dyDescent="0.2">
      <c r="C63537"/>
      <c r="M63537"/>
    </row>
    <row r="63538" spans="3:13" ht="12.75" customHeight="1" x14ac:dyDescent="0.2">
      <c r="C63538"/>
      <c r="M63538"/>
    </row>
    <row r="63539" spans="3:13" ht="12.75" customHeight="1" x14ac:dyDescent="0.2">
      <c r="C63539"/>
      <c r="M63539"/>
    </row>
    <row r="63540" spans="3:13" ht="12.75" customHeight="1" x14ac:dyDescent="0.2">
      <c r="C63540"/>
      <c r="M63540"/>
    </row>
    <row r="63541" spans="3:13" ht="12.75" customHeight="1" x14ac:dyDescent="0.2">
      <c r="C63541"/>
      <c r="M63541"/>
    </row>
    <row r="63542" spans="3:13" ht="12.75" customHeight="1" x14ac:dyDescent="0.2">
      <c r="C63542"/>
      <c r="M63542"/>
    </row>
    <row r="63543" spans="3:13" ht="12.75" customHeight="1" x14ac:dyDescent="0.2">
      <c r="C63543"/>
      <c r="M63543"/>
    </row>
    <row r="63544" spans="3:13" ht="12.75" customHeight="1" x14ac:dyDescent="0.2">
      <c r="C63544"/>
      <c r="M63544"/>
    </row>
    <row r="63545" spans="3:13" ht="12.75" customHeight="1" x14ac:dyDescent="0.2">
      <c r="C63545"/>
      <c r="M63545"/>
    </row>
    <row r="63546" spans="3:13" ht="12.75" customHeight="1" x14ac:dyDescent="0.2">
      <c r="C63546"/>
      <c r="M63546"/>
    </row>
    <row r="63547" spans="3:13" ht="12.75" customHeight="1" x14ac:dyDescent="0.2">
      <c r="C63547"/>
      <c r="M63547"/>
    </row>
    <row r="63548" spans="3:13" ht="12.75" customHeight="1" x14ac:dyDescent="0.2">
      <c r="C63548"/>
      <c r="M63548"/>
    </row>
    <row r="63549" spans="3:13" ht="12.75" customHeight="1" x14ac:dyDescent="0.2">
      <c r="C63549"/>
      <c r="M63549"/>
    </row>
    <row r="63550" spans="3:13" ht="12.75" customHeight="1" x14ac:dyDescent="0.2">
      <c r="C63550"/>
      <c r="M63550"/>
    </row>
    <row r="63551" spans="3:13" ht="12.75" customHeight="1" x14ac:dyDescent="0.2">
      <c r="C63551"/>
      <c r="M63551"/>
    </row>
    <row r="63552" spans="3:13" ht="12.75" customHeight="1" x14ac:dyDescent="0.2">
      <c r="C63552"/>
      <c r="M63552"/>
    </row>
    <row r="63553" spans="3:13" ht="12.75" customHeight="1" x14ac:dyDescent="0.2">
      <c r="C63553"/>
      <c r="M63553"/>
    </row>
    <row r="63554" spans="3:13" ht="12.75" customHeight="1" x14ac:dyDescent="0.2">
      <c r="C63554"/>
      <c r="M63554"/>
    </row>
    <row r="63555" spans="3:13" ht="12.75" customHeight="1" x14ac:dyDescent="0.2">
      <c r="C63555"/>
      <c r="M63555"/>
    </row>
    <row r="63556" spans="3:13" ht="12.75" customHeight="1" x14ac:dyDescent="0.2">
      <c r="C63556"/>
      <c r="M63556"/>
    </row>
    <row r="63557" spans="3:13" ht="12.75" customHeight="1" x14ac:dyDescent="0.2">
      <c r="C63557"/>
      <c r="M63557"/>
    </row>
    <row r="63558" spans="3:13" ht="12.75" customHeight="1" x14ac:dyDescent="0.2">
      <c r="C63558"/>
      <c r="M63558"/>
    </row>
    <row r="63559" spans="3:13" ht="12.75" customHeight="1" x14ac:dyDescent="0.2">
      <c r="C63559"/>
      <c r="M63559"/>
    </row>
    <row r="63560" spans="3:13" ht="12.75" customHeight="1" x14ac:dyDescent="0.2">
      <c r="C63560"/>
      <c r="M63560"/>
    </row>
    <row r="63561" spans="3:13" ht="12.75" customHeight="1" x14ac:dyDescent="0.2">
      <c r="C63561"/>
      <c r="M63561"/>
    </row>
    <row r="63562" spans="3:13" ht="12.75" customHeight="1" x14ac:dyDescent="0.2">
      <c r="C63562"/>
      <c r="M63562"/>
    </row>
    <row r="63563" spans="3:13" ht="12.75" customHeight="1" x14ac:dyDescent="0.2">
      <c r="C63563"/>
      <c r="M63563"/>
    </row>
    <row r="63564" spans="3:13" ht="12.75" customHeight="1" x14ac:dyDescent="0.2">
      <c r="C63564"/>
      <c r="M63564"/>
    </row>
    <row r="63565" spans="3:13" ht="12.75" customHeight="1" x14ac:dyDescent="0.2">
      <c r="C63565"/>
      <c r="M63565"/>
    </row>
    <row r="63566" spans="3:13" ht="12.75" customHeight="1" x14ac:dyDescent="0.2">
      <c r="C63566"/>
      <c r="M63566"/>
    </row>
    <row r="63567" spans="3:13" ht="12.75" customHeight="1" x14ac:dyDescent="0.2">
      <c r="C63567"/>
      <c r="M63567"/>
    </row>
    <row r="63568" spans="3:13" ht="12.75" customHeight="1" x14ac:dyDescent="0.2">
      <c r="C63568"/>
      <c r="M63568"/>
    </row>
    <row r="63569" spans="3:13" ht="12.75" customHeight="1" x14ac:dyDescent="0.2">
      <c r="C63569"/>
      <c r="M63569"/>
    </row>
    <row r="63570" spans="3:13" ht="12.75" customHeight="1" x14ac:dyDescent="0.2">
      <c r="C63570"/>
      <c r="M63570"/>
    </row>
    <row r="63571" spans="3:13" ht="12.75" customHeight="1" x14ac:dyDescent="0.2">
      <c r="C63571"/>
      <c r="M63571"/>
    </row>
    <row r="63572" spans="3:13" ht="12.75" customHeight="1" x14ac:dyDescent="0.2">
      <c r="C63572"/>
      <c r="M63572"/>
    </row>
    <row r="63573" spans="3:13" ht="12.75" customHeight="1" x14ac:dyDescent="0.2">
      <c r="C63573"/>
      <c r="M63573"/>
    </row>
    <row r="63574" spans="3:13" ht="12.75" customHeight="1" x14ac:dyDescent="0.2">
      <c r="C63574"/>
      <c r="M63574"/>
    </row>
    <row r="63575" spans="3:13" ht="12.75" customHeight="1" x14ac:dyDescent="0.2">
      <c r="C63575"/>
      <c r="M63575"/>
    </row>
    <row r="63576" spans="3:13" ht="12.75" customHeight="1" x14ac:dyDescent="0.2">
      <c r="C63576"/>
      <c r="M63576"/>
    </row>
    <row r="63577" spans="3:13" ht="12.75" customHeight="1" x14ac:dyDescent="0.2">
      <c r="C63577"/>
      <c r="M63577"/>
    </row>
    <row r="63578" spans="3:13" ht="12.75" customHeight="1" x14ac:dyDescent="0.2">
      <c r="C63578"/>
      <c r="M63578"/>
    </row>
    <row r="63579" spans="3:13" ht="12.75" customHeight="1" x14ac:dyDescent="0.2">
      <c r="C63579"/>
      <c r="M63579"/>
    </row>
    <row r="63580" spans="3:13" ht="12.75" customHeight="1" x14ac:dyDescent="0.2">
      <c r="C63580"/>
      <c r="M63580"/>
    </row>
    <row r="63581" spans="3:13" ht="12.75" customHeight="1" x14ac:dyDescent="0.2">
      <c r="C63581"/>
      <c r="M63581"/>
    </row>
    <row r="63582" spans="3:13" ht="12.75" customHeight="1" x14ac:dyDescent="0.2">
      <c r="C63582"/>
      <c r="M63582"/>
    </row>
    <row r="63583" spans="3:13" ht="12.75" customHeight="1" x14ac:dyDescent="0.2">
      <c r="C63583"/>
      <c r="M63583"/>
    </row>
    <row r="63584" spans="3:13" ht="12.75" customHeight="1" x14ac:dyDescent="0.2">
      <c r="C63584"/>
      <c r="M63584"/>
    </row>
    <row r="63585" spans="3:13" ht="12.75" customHeight="1" x14ac:dyDescent="0.2">
      <c r="C63585"/>
      <c r="M63585"/>
    </row>
    <row r="63586" spans="3:13" ht="12.75" customHeight="1" x14ac:dyDescent="0.2">
      <c r="C63586"/>
      <c r="M63586"/>
    </row>
    <row r="63587" spans="3:13" ht="12.75" customHeight="1" x14ac:dyDescent="0.2">
      <c r="C63587"/>
      <c r="M63587"/>
    </row>
    <row r="63588" spans="3:13" ht="12.75" customHeight="1" x14ac:dyDescent="0.2">
      <c r="C63588"/>
      <c r="M63588"/>
    </row>
    <row r="63589" spans="3:13" ht="12.75" customHeight="1" x14ac:dyDescent="0.2">
      <c r="C63589"/>
      <c r="M63589"/>
    </row>
    <row r="63590" spans="3:13" ht="12.75" customHeight="1" x14ac:dyDescent="0.2">
      <c r="C63590"/>
      <c r="M63590"/>
    </row>
    <row r="63591" spans="3:13" ht="12.75" customHeight="1" x14ac:dyDescent="0.2">
      <c r="C63591"/>
      <c r="M63591"/>
    </row>
    <row r="63592" spans="3:13" ht="12.75" customHeight="1" x14ac:dyDescent="0.2">
      <c r="C63592"/>
      <c r="M63592"/>
    </row>
    <row r="63593" spans="3:13" ht="12.75" customHeight="1" x14ac:dyDescent="0.2">
      <c r="C63593"/>
      <c r="M63593"/>
    </row>
    <row r="63594" spans="3:13" ht="12.75" customHeight="1" x14ac:dyDescent="0.2">
      <c r="C63594"/>
      <c r="M63594"/>
    </row>
    <row r="63595" spans="3:13" ht="12.75" customHeight="1" x14ac:dyDescent="0.2">
      <c r="C63595"/>
      <c r="M63595"/>
    </row>
    <row r="63596" spans="3:13" ht="12.75" customHeight="1" x14ac:dyDescent="0.2">
      <c r="C63596"/>
      <c r="M63596"/>
    </row>
    <row r="63597" spans="3:13" ht="12.75" customHeight="1" x14ac:dyDescent="0.2">
      <c r="C63597"/>
      <c r="M63597"/>
    </row>
    <row r="63598" spans="3:13" ht="12.75" customHeight="1" x14ac:dyDescent="0.2">
      <c r="C63598"/>
      <c r="M63598"/>
    </row>
    <row r="63599" spans="3:13" ht="12.75" customHeight="1" x14ac:dyDescent="0.2">
      <c r="C63599"/>
      <c r="M63599"/>
    </row>
    <row r="63600" spans="3:13" ht="12.75" customHeight="1" x14ac:dyDescent="0.2">
      <c r="C63600"/>
      <c r="M63600"/>
    </row>
    <row r="63601" spans="3:13" ht="12.75" customHeight="1" x14ac:dyDescent="0.2">
      <c r="C63601"/>
      <c r="M63601"/>
    </row>
    <row r="63602" spans="3:13" ht="12.75" customHeight="1" x14ac:dyDescent="0.2">
      <c r="C63602"/>
      <c r="M63602"/>
    </row>
    <row r="63603" spans="3:13" ht="12.75" customHeight="1" x14ac:dyDescent="0.2">
      <c r="C63603"/>
      <c r="M63603"/>
    </row>
    <row r="63604" spans="3:13" ht="12.75" customHeight="1" x14ac:dyDescent="0.2">
      <c r="C63604"/>
      <c r="M63604"/>
    </row>
    <row r="63605" spans="3:13" ht="12.75" customHeight="1" x14ac:dyDescent="0.2">
      <c r="C63605"/>
      <c r="M63605"/>
    </row>
    <row r="63606" spans="3:13" ht="12.75" customHeight="1" x14ac:dyDescent="0.2">
      <c r="C63606"/>
      <c r="M63606"/>
    </row>
    <row r="63607" spans="3:13" ht="12.75" customHeight="1" x14ac:dyDescent="0.2">
      <c r="C63607"/>
      <c r="M63607"/>
    </row>
    <row r="63608" spans="3:13" ht="12.75" customHeight="1" x14ac:dyDescent="0.2">
      <c r="C63608"/>
      <c r="M63608"/>
    </row>
    <row r="63609" spans="3:13" ht="12.75" customHeight="1" x14ac:dyDescent="0.2">
      <c r="C63609"/>
      <c r="M63609"/>
    </row>
    <row r="63610" spans="3:13" ht="12.75" customHeight="1" x14ac:dyDescent="0.2">
      <c r="C63610"/>
      <c r="M63610"/>
    </row>
    <row r="63611" spans="3:13" ht="12.75" customHeight="1" x14ac:dyDescent="0.2">
      <c r="C63611"/>
      <c r="M63611"/>
    </row>
    <row r="63612" spans="3:13" ht="12.75" customHeight="1" x14ac:dyDescent="0.2">
      <c r="C63612"/>
      <c r="M63612"/>
    </row>
    <row r="63613" spans="3:13" ht="12.75" customHeight="1" x14ac:dyDescent="0.2">
      <c r="C63613"/>
      <c r="M63613"/>
    </row>
    <row r="63614" spans="3:13" ht="12.75" customHeight="1" x14ac:dyDescent="0.2">
      <c r="C63614"/>
      <c r="M63614"/>
    </row>
    <row r="63615" spans="3:13" ht="12.75" customHeight="1" x14ac:dyDescent="0.2">
      <c r="C63615"/>
      <c r="M63615"/>
    </row>
    <row r="63616" spans="3:13" ht="12.75" customHeight="1" x14ac:dyDescent="0.2">
      <c r="C63616"/>
      <c r="M63616"/>
    </row>
    <row r="63617" spans="3:13" ht="12.75" customHeight="1" x14ac:dyDescent="0.2">
      <c r="C63617"/>
      <c r="M63617"/>
    </row>
    <row r="63618" spans="3:13" ht="12.75" customHeight="1" x14ac:dyDescent="0.2">
      <c r="C63618"/>
      <c r="M63618"/>
    </row>
    <row r="63619" spans="3:13" ht="12.75" customHeight="1" x14ac:dyDescent="0.2">
      <c r="C63619"/>
      <c r="M63619"/>
    </row>
    <row r="63620" spans="3:13" ht="12.75" customHeight="1" x14ac:dyDescent="0.2">
      <c r="C63620"/>
      <c r="M63620"/>
    </row>
    <row r="63621" spans="3:13" ht="12.75" customHeight="1" x14ac:dyDescent="0.2">
      <c r="C63621"/>
      <c r="M63621"/>
    </row>
    <row r="63622" spans="3:13" ht="12.75" customHeight="1" x14ac:dyDescent="0.2">
      <c r="C63622"/>
      <c r="M63622"/>
    </row>
    <row r="63623" spans="3:13" ht="12.75" customHeight="1" x14ac:dyDescent="0.2">
      <c r="C63623"/>
      <c r="M63623"/>
    </row>
    <row r="63624" spans="3:13" ht="12.75" customHeight="1" x14ac:dyDescent="0.2">
      <c r="C63624"/>
      <c r="M63624"/>
    </row>
    <row r="63625" spans="3:13" ht="12.75" customHeight="1" x14ac:dyDescent="0.2">
      <c r="C63625"/>
      <c r="M63625"/>
    </row>
    <row r="63626" spans="3:13" ht="12.75" customHeight="1" x14ac:dyDescent="0.2">
      <c r="C63626"/>
      <c r="M63626"/>
    </row>
    <row r="63627" spans="3:13" ht="12.75" customHeight="1" x14ac:dyDescent="0.2">
      <c r="C63627"/>
      <c r="M63627"/>
    </row>
    <row r="63628" spans="3:13" ht="12.75" customHeight="1" x14ac:dyDescent="0.2">
      <c r="C63628"/>
      <c r="M63628"/>
    </row>
    <row r="63629" spans="3:13" ht="12.75" customHeight="1" x14ac:dyDescent="0.2">
      <c r="C63629"/>
      <c r="M63629"/>
    </row>
    <row r="63630" spans="3:13" ht="12.75" customHeight="1" x14ac:dyDescent="0.2">
      <c r="C63630"/>
      <c r="M63630"/>
    </row>
    <row r="63631" spans="3:13" ht="12.75" customHeight="1" x14ac:dyDescent="0.2">
      <c r="C63631"/>
      <c r="M63631"/>
    </row>
    <row r="63632" spans="3:13" ht="12.75" customHeight="1" x14ac:dyDescent="0.2">
      <c r="C63632"/>
      <c r="M63632"/>
    </row>
    <row r="63633" spans="3:13" ht="12.75" customHeight="1" x14ac:dyDescent="0.2">
      <c r="C63633"/>
      <c r="M63633"/>
    </row>
    <row r="63634" spans="3:13" ht="12.75" customHeight="1" x14ac:dyDescent="0.2">
      <c r="C63634"/>
      <c r="M63634"/>
    </row>
    <row r="63635" spans="3:13" ht="12.75" customHeight="1" x14ac:dyDescent="0.2">
      <c r="C63635"/>
      <c r="M63635"/>
    </row>
    <row r="63636" spans="3:13" ht="12.75" customHeight="1" x14ac:dyDescent="0.2">
      <c r="C63636"/>
      <c r="M63636"/>
    </row>
    <row r="63637" spans="3:13" ht="12.75" customHeight="1" x14ac:dyDescent="0.2">
      <c r="C63637"/>
      <c r="M63637"/>
    </row>
    <row r="63638" spans="3:13" ht="12.75" customHeight="1" x14ac:dyDescent="0.2">
      <c r="C63638"/>
      <c r="M63638"/>
    </row>
    <row r="63639" spans="3:13" ht="12.75" customHeight="1" x14ac:dyDescent="0.2">
      <c r="C63639"/>
      <c r="M63639"/>
    </row>
    <row r="63640" spans="3:13" ht="12.75" customHeight="1" x14ac:dyDescent="0.2">
      <c r="C63640"/>
      <c r="M63640"/>
    </row>
    <row r="63641" spans="3:13" ht="12.75" customHeight="1" x14ac:dyDescent="0.2">
      <c r="C63641"/>
      <c r="M63641"/>
    </row>
    <row r="63642" spans="3:13" ht="12.75" customHeight="1" x14ac:dyDescent="0.2">
      <c r="C63642"/>
      <c r="M63642"/>
    </row>
    <row r="63643" spans="3:13" ht="12.75" customHeight="1" x14ac:dyDescent="0.2">
      <c r="C63643"/>
      <c r="M63643"/>
    </row>
    <row r="63644" spans="3:13" ht="12.75" customHeight="1" x14ac:dyDescent="0.2">
      <c r="C63644"/>
      <c r="M63644"/>
    </row>
    <row r="63645" spans="3:13" ht="12.75" customHeight="1" x14ac:dyDescent="0.2">
      <c r="C63645"/>
      <c r="M63645"/>
    </row>
    <row r="63646" spans="3:13" ht="12.75" customHeight="1" x14ac:dyDescent="0.2">
      <c r="C63646"/>
      <c r="M63646"/>
    </row>
    <row r="63647" spans="3:13" ht="12.75" customHeight="1" x14ac:dyDescent="0.2">
      <c r="C63647"/>
      <c r="M63647"/>
    </row>
    <row r="63648" spans="3:13" ht="12.75" customHeight="1" x14ac:dyDescent="0.2">
      <c r="C63648"/>
      <c r="M63648"/>
    </row>
    <row r="63649" spans="3:13" ht="12.75" customHeight="1" x14ac:dyDescent="0.2">
      <c r="C63649"/>
      <c r="M63649"/>
    </row>
    <row r="63650" spans="3:13" ht="12.75" customHeight="1" x14ac:dyDescent="0.2">
      <c r="C63650"/>
      <c r="M63650"/>
    </row>
    <row r="63651" spans="3:13" ht="12.75" customHeight="1" x14ac:dyDescent="0.2">
      <c r="C63651"/>
      <c r="M63651"/>
    </row>
    <row r="63652" spans="3:13" ht="12.75" customHeight="1" x14ac:dyDescent="0.2">
      <c r="C63652"/>
      <c r="M63652"/>
    </row>
    <row r="63653" spans="3:13" ht="12.75" customHeight="1" x14ac:dyDescent="0.2">
      <c r="C63653"/>
      <c r="M63653"/>
    </row>
    <row r="63654" spans="3:13" ht="12.75" customHeight="1" x14ac:dyDescent="0.2">
      <c r="C63654"/>
      <c r="M63654"/>
    </row>
    <row r="63655" spans="3:13" ht="12.75" customHeight="1" x14ac:dyDescent="0.2">
      <c r="C63655"/>
      <c r="M63655"/>
    </row>
    <row r="63656" spans="3:13" ht="12.75" customHeight="1" x14ac:dyDescent="0.2">
      <c r="C63656"/>
      <c r="M63656"/>
    </row>
    <row r="63657" spans="3:13" ht="12.75" customHeight="1" x14ac:dyDescent="0.2">
      <c r="C63657"/>
      <c r="M63657"/>
    </row>
    <row r="63658" spans="3:13" ht="12.75" customHeight="1" x14ac:dyDescent="0.2">
      <c r="C63658"/>
      <c r="M63658"/>
    </row>
    <row r="63659" spans="3:13" ht="12.75" customHeight="1" x14ac:dyDescent="0.2">
      <c r="C63659"/>
      <c r="M63659"/>
    </row>
    <row r="63660" spans="3:13" ht="12.75" customHeight="1" x14ac:dyDescent="0.2">
      <c r="C63660"/>
      <c r="M63660"/>
    </row>
    <row r="63661" spans="3:13" ht="12.75" customHeight="1" x14ac:dyDescent="0.2">
      <c r="C63661"/>
      <c r="M63661"/>
    </row>
    <row r="63662" spans="3:13" ht="12.75" customHeight="1" x14ac:dyDescent="0.2">
      <c r="C63662"/>
      <c r="M63662"/>
    </row>
    <row r="63663" spans="3:13" ht="12.75" customHeight="1" x14ac:dyDescent="0.2">
      <c r="C63663"/>
      <c r="M63663"/>
    </row>
    <row r="63664" spans="3:13" ht="12.75" customHeight="1" x14ac:dyDescent="0.2">
      <c r="C63664"/>
      <c r="M63664"/>
    </row>
    <row r="63665" spans="3:13" ht="12.75" customHeight="1" x14ac:dyDescent="0.2">
      <c r="C63665"/>
      <c r="M63665"/>
    </row>
    <row r="63666" spans="3:13" ht="12.75" customHeight="1" x14ac:dyDescent="0.2">
      <c r="C63666"/>
      <c r="M63666"/>
    </row>
    <row r="63667" spans="3:13" ht="12.75" customHeight="1" x14ac:dyDescent="0.2">
      <c r="C63667"/>
      <c r="M63667"/>
    </row>
    <row r="63668" spans="3:13" ht="12.75" customHeight="1" x14ac:dyDescent="0.2">
      <c r="C63668"/>
      <c r="M63668"/>
    </row>
    <row r="63669" spans="3:13" ht="12.75" customHeight="1" x14ac:dyDescent="0.2">
      <c r="C63669"/>
      <c r="M63669"/>
    </row>
    <row r="63670" spans="3:13" ht="12.75" customHeight="1" x14ac:dyDescent="0.2">
      <c r="C63670"/>
      <c r="M63670"/>
    </row>
    <row r="63671" spans="3:13" ht="12.75" customHeight="1" x14ac:dyDescent="0.2">
      <c r="C63671"/>
      <c r="M63671"/>
    </row>
    <row r="63672" spans="3:13" ht="12.75" customHeight="1" x14ac:dyDescent="0.2">
      <c r="C63672"/>
      <c r="M63672"/>
    </row>
    <row r="63673" spans="3:13" ht="12.75" customHeight="1" x14ac:dyDescent="0.2">
      <c r="C63673"/>
      <c r="M63673"/>
    </row>
    <row r="63674" spans="3:13" ht="12.75" customHeight="1" x14ac:dyDescent="0.2">
      <c r="C63674"/>
      <c r="M63674"/>
    </row>
    <row r="63675" spans="3:13" ht="12.75" customHeight="1" x14ac:dyDescent="0.2">
      <c r="C63675"/>
      <c r="M63675"/>
    </row>
    <row r="63676" spans="3:13" ht="12.75" customHeight="1" x14ac:dyDescent="0.2">
      <c r="C63676"/>
      <c r="M63676"/>
    </row>
    <row r="63677" spans="3:13" ht="12.75" customHeight="1" x14ac:dyDescent="0.2">
      <c r="C63677"/>
      <c r="M63677"/>
    </row>
    <row r="63678" spans="3:13" ht="12.75" customHeight="1" x14ac:dyDescent="0.2">
      <c r="C63678"/>
      <c r="M63678"/>
    </row>
    <row r="63679" spans="3:13" ht="12.75" customHeight="1" x14ac:dyDescent="0.2">
      <c r="C63679"/>
      <c r="M63679"/>
    </row>
    <row r="63680" spans="3:13" ht="12.75" customHeight="1" x14ac:dyDescent="0.2">
      <c r="C63680"/>
      <c r="M63680"/>
    </row>
    <row r="63681" spans="3:13" ht="12.75" customHeight="1" x14ac:dyDescent="0.2">
      <c r="C63681"/>
      <c r="M63681"/>
    </row>
    <row r="63682" spans="3:13" ht="12.75" customHeight="1" x14ac:dyDescent="0.2">
      <c r="C63682"/>
      <c r="M63682"/>
    </row>
    <row r="63683" spans="3:13" ht="12.75" customHeight="1" x14ac:dyDescent="0.2">
      <c r="C63683"/>
      <c r="M63683"/>
    </row>
    <row r="63684" spans="3:13" ht="12.75" customHeight="1" x14ac:dyDescent="0.2">
      <c r="C63684"/>
      <c r="M63684"/>
    </row>
    <row r="63685" spans="3:13" ht="12.75" customHeight="1" x14ac:dyDescent="0.2">
      <c r="C63685"/>
      <c r="M63685"/>
    </row>
    <row r="63686" spans="3:13" ht="12.75" customHeight="1" x14ac:dyDescent="0.2">
      <c r="C63686"/>
      <c r="M63686"/>
    </row>
    <row r="63687" spans="3:13" ht="12.75" customHeight="1" x14ac:dyDescent="0.2">
      <c r="C63687"/>
      <c r="M63687"/>
    </row>
    <row r="63688" spans="3:13" ht="12.75" customHeight="1" x14ac:dyDescent="0.2">
      <c r="C63688"/>
      <c r="M63688"/>
    </row>
    <row r="63689" spans="3:13" ht="12.75" customHeight="1" x14ac:dyDescent="0.2">
      <c r="C63689"/>
      <c r="M63689"/>
    </row>
    <row r="63690" spans="3:13" ht="12.75" customHeight="1" x14ac:dyDescent="0.2">
      <c r="C63690"/>
      <c r="M63690"/>
    </row>
    <row r="63691" spans="3:13" ht="12.75" customHeight="1" x14ac:dyDescent="0.2">
      <c r="C63691"/>
      <c r="M63691"/>
    </row>
    <row r="63692" spans="3:13" ht="12.75" customHeight="1" x14ac:dyDescent="0.2">
      <c r="C63692"/>
      <c r="M63692"/>
    </row>
    <row r="63693" spans="3:13" ht="12.75" customHeight="1" x14ac:dyDescent="0.2">
      <c r="C63693"/>
      <c r="M63693"/>
    </row>
    <row r="63694" spans="3:13" ht="12.75" customHeight="1" x14ac:dyDescent="0.2">
      <c r="C63694"/>
      <c r="M63694"/>
    </row>
    <row r="63695" spans="3:13" ht="12.75" customHeight="1" x14ac:dyDescent="0.2">
      <c r="C63695"/>
      <c r="M63695"/>
    </row>
    <row r="63696" spans="3:13" ht="12.75" customHeight="1" x14ac:dyDescent="0.2">
      <c r="C63696"/>
      <c r="M63696"/>
    </row>
    <row r="63697" spans="3:13" ht="12.75" customHeight="1" x14ac:dyDescent="0.2">
      <c r="C63697"/>
      <c r="M63697"/>
    </row>
    <row r="63698" spans="3:13" ht="12.75" customHeight="1" x14ac:dyDescent="0.2">
      <c r="C63698"/>
      <c r="M63698"/>
    </row>
    <row r="63699" spans="3:13" ht="12.75" customHeight="1" x14ac:dyDescent="0.2">
      <c r="C63699"/>
      <c r="M63699"/>
    </row>
    <row r="63700" spans="3:13" ht="12.75" customHeight="1" x14ac:dyDescent="0.2">
      <c r="C63700"/>
      <c r="M63700"/>
    </row>
    <row r="63701" spans="3:13" ht="12.75" customHeight="1" x14ac:dyDescent="0.2">
      <c r="C63701"/>
      <c r="M63701"/>
    </row>
    <row r="63702" spans="3:13" ht="12.75" customHeight="1" x14ac:dyDescent="0.2">
      <c r="C63702"/>
      <c r="M63702"/>
    </row>
    <row r="63703" spans="3:13" ht="12.75" customHeight="1" x14ac:dyDescent="0.2">
      <c r="C63703"/>
      <c r="M63703"/>
    </row>
    <row r="63704" spans="3:13" ht="12.75" customHeight="1" x14ac:dyDescent="0.2">
      <c r="C63704"/>
      <c r="M63704"/>
    </row>
    <row r="63705" spans="3:13" ht="12.75" customHeight="1" x14ac:dyDescent="0.2">
      <c r="C63705"/>
      <c r="M63705"/>
    </row>
    <row r="63706" spans="3:13" ht="12.75" customHeight="1" x14ac:dyDescent="0.2">
      <c r="C63706"/>
      <c r="M63706"/>
    </row>
    <row r="63707" spans="3:13" ht="12.75" customHeight="1" x14ac:dyDescent="0.2">
      <c r="C63707"/>
      <c r="M63707"/>
    </row>
    <row r="63708" spans="3:13" ht="12.75" customHeight="1" x14ac:dyDescent="0.2">
      <c r="C63708"/>
      <c r="M63708"/>
    </row>
    <row r="63709" spans="3:13" ht="12.75" customHeight="1" x14ac:dyDescent="0.2">
      <c r="C63709"/>
      <c r="M63709"/>
    </row>
    <row r="63710" spans="3:13" ht="12.75" customHeight="1" x14ac:dyDescent="0.2">
      <c r="C63710"/>
      <c r="M63710"/>
    </row>
    <row r="63711" spans="3:13" ht="12.75" customHeight="1" x14ac:dyDescent="0.2">
      <c r="C63711"/>
      <c r="M63711"/>
    </row>
    <row r="63712" spans="3:13" ht="12.75" customHeight="1" x14ac:dyDescent="0.2">
      <c r="C63712"/>
      <c r="M63712"/>
    </row>
    <row r="63713" spans="3:13" ht="12.75" customHeight="1" x14ac:dyDescent="0.2">
      <c r="C63713"/>
      <c r="M63713"/>
    </row>
    <row r="63714" spans="3:13" ht="12.75" customHeight="1" x14ac:dyDescent="0.2">
      <c r="C63714"/>
      <c r="M63714"/>
    </row>
    <row r="63715" spans="3:13" ht="12.75" customHeight="1" x14ac:dyDescent="0.2">
      <c r="C63715"/>
      <c r="M63715"/>
    </row>
    <row r="63716" spans="3:13" ht="12.75" customHeight="1" x14ac:dyDescent="0.2">
      <c r="C63716"/>
      <c r="M63716"/>
    </row>
    <row r="63717" spans="3:13" ht="12.75" customHeight="1" x14ac:dyDescent="0.2">
      <c r="C63717"/>
      <c r="M63717"/>
    </row>
    <row r="63718" spans="3:13" ht="12.75" customHeight="1" x14ac:dyDescent="0.2">
      <c r="C63718"/>
      <c r="M63718"/>
    </row>
    <row r="63719" spans="3:13" ht="12.75" customHeight="1" x14ac:dyDescent="0.2">
      <c r="C63719"/>
      <c r="M63719"/>
    </row>
    <row r="63720" spans="3:13" ht="12.75" customHeight="1" x14ac:dyDescent="0.2">
      <c r="C63720"/>
      <c r="M63720"/>
    </row>
    <row r="63721" spans="3:13" ht="12.75" customHeight="1" x14ac:dyDescent="0.2">
      <c r="C63721"/>
      <c r="M63721"/>
    </row>
    <row r="63722" spans="3:13" ht="12.75" customHeight="1" x14ac:dyDescent="0.2">
      <c r="C63722"/>
      <c r="M63722"/>
    </row>
    <row r="63723" spans="3:13" ht="12.75" customHeight="1" x14ac:dyDescent="0.2">
      <c r="C63723"/>
      <c r="M63723"/>
    </row>
    <row r="63724" spans="3:13" ht="12.75" customHeight="1" x14ac:dyDescent="0.2">
      <c r="C63724"/>
      <c r="M63724"/>
    </row>
    <row r="63725" spans="3:13" ht="12.75" customHeight="1" x14ac:dyDescent="0.2">
      <c r="C63725"/>
      <c r="M63725"/>
    </row>
    <row r="63726" spans="3:13" ht="12.75" customHeight="1" x14ac:dyDescent="0.2">
      <c r="C63726"/>
      <c r="M63726"/>
    </row>
    <row r="63727" spans="3:13" ht="12.75" customHeight="1" x14ac:dyDescent="0.2">
      <c r="C63727"/>
      <c r="M63727"/>
    </row>
    <row r="63728" spans="3:13" ht="12.75" customHeight="1" x14ac:dyDescent="0.2">
      <c r="C63728"/>
      <c r="M63728"/>
    </row>
    <row r="63729" spans="3:13" ht="12.75" customHeight="1" x14ac:dyDescent="0.2">
      <c r="C63729"/>
      <c r="M63729"/>
    </row>
    <row r="63730" spans="3:13" ht="12.75" customHeight="1" x14ac:dyDescent="0.2">
      <c r="C63730"/>
      <c r="M63730"/>
    </row>
    <row r="63731" spans="3:13" ht="12.75" customHeight="1" x14ac:dyDescent="0.2">
      <c r="C63731"/>
      <c r="M63731"/>
    </row>
    <row r="63732" spans="3:13" ht="12.75" customHeight="1" x14ac:dyDescent="0.2">
      <c r="C63732"/>
      <c r="M63732"/>
    </row>
    <row r="63733" spans="3:13" ht="12.75" customHeight="1" x14ac:dyDescent="0.2">
      <c r="C63733"/>
      <c r="M63733"/>
    </row>
    <row r="63734" spans="3:13" ht="12.75" customHeight="1" x14ac:dyDescent="0.2">
      <c r="C63734"/>
      <c r="M63734"/>
    </row>
    <row r="63735" spans="3:13" ht="12.75" customHeight="1" x14ac:dyDescent="0.2">
      <c r="C63735"/>
      <c r="M63735"/>
    </row>
    <row r="63736" spans="3:13" ht="12.75" customHeight="1" x14ac:dyDescent="0.2">
      <c r="C63736"/>
      <c r="M63736"/>
    </row>
    <row r="63737" spans="3:13" ht="12.75" customHeight="1" x14ac:dyDescent="0.2">
      <c r="C63737"/>
      <c r="M63737"/>
    </row>
    <row r="63738" spans="3:13" ht="12.75" customHeight="1" x14ac:dyDescent="0.2">
      <c r="C63738"/>
      <c r="M63738"/>
    </row>
    <row r="63739" spans="3:13" ht="12.75" customHeight="1" x14ac:dyDescent="0.2">
      <c r="C63739"/>
      <c r="M63739"/>
    </row>
    <row r="63740" spans="3:13" ht="12.75" customHeight="1" x14ac:dyDescent="0.2">
      <c r="C63740"/>
      <c r="M63740"/>
    </row>
    <row r="63741" spans="3:13" ht="12.75" customHeight="1" x14ac:dyDescent="0.2">
      <c r="C63741"/>
      <c r="M63741"/>
    </row>
    <row r="63742" spans="3:13" ht="12.75" customHeight="1" x14ac:dyDescent="0.2">
      <c r="C63742"/>
      <c r="M63742"/>
    </row>
    <row r="63743" spans="3:13" ht="12.75" customHeight="1" x14ac:dyDescent="0.2">
      <c r="C63743"/>
      <c r="M63743"/>
    </row>
    <row r="63744" spans="3:13" ht="12.75" customHeight="1" x14ac:dyDescent="0.2">
      <c r="C63744"/>
      <c r="M63744"/>
    </row>
    <row r="63745" spans="3:13" ht="12.75" customHeight="1" x14ac:dyDescent="0.2">
      <c r="C63745"/>
      <c r="M63745"/>
    </row>
    <row r="63746" spans="3:13" ht="12.75" customHeight="1" x14ac:dyDescent="0.2">
      <c r="C63746"/>
      <c r="M63746"/>
    </row>
    <row r="63747" spans="3:13" ht="12.75" customHeight="1" x14ac:dyDescent="0.2">
      <c r="C63747"/>
      <c r="M63747"/>
    </row>
    <row r="63748" spans="3:13" ht="12.75" customHeight="1" x14ac:dyDescent="0.2">
      <c r="C63748"/>
      <c r="M63748"/>
    </row>
    <row r="63749" spans="3:13" ht="12.75" customHeight="1" x14ac:dyDescent="0.2">
      <c r="C63749"/>
      <c r="M63749"/>
    </row>
    <row r="63750" spans="3:13" ht="12.75" customHeight="1" x14ac:dyDescent="0.2">
      <c r="C63750"/>
      <c r="M63750"/>
    </row>
    <row r="63751" spans="3:13" ht="12.75" customHeight="1" x14ac:dyDescent="0.2">
      <c r="C63751"/>
      <c r="M63751"/>
    </row>
    <row r="63752" spans="3:13" ht="12.75" customHeight="1" x14ac:dyDescent="0.2">
      <c r="C63752"/>
      <c r="M63752"/>
    </row>
    <row r="63753" spans="3:13" ht="12.75" customHeight="1" x14ac:dyDescent="0.2">
      <c r="C63753"/>
      <c r="M63753"/>
    </row>
    <row r="63754" spans="3:13" ht="12.75" customHeight="1" x14ac:dyDescent="0.2">
      <c r="C63754"/>
      <c r="M63754"/>
    </row>
    <row r="63755" spans="3:13" ht="12.75" customHeight="1" x14ac:dyDescent="0.2">
      <c r="C63755"/>
      <c r="M63755"/>
    </row>
    <row r="63756" spans="3:13" ht="12.75" customHeight="1" x14ac:dyDescent="0.2">
      <c r="C63756"/>
      <c r="M63756"/>
    </row>
    <row r="63757" spans="3:13" ht="12.75" customHeight="1" x14ac:dyDescent="0.2">
      <c r="C63757"/>
      <c r="M63757"/>
    </row>
    <row r="63758" spans="3:13" ht="12.75" customHeight="1" x14ac:dyDescent="0.2">
      <c r="C63758"/>
      <c r="M63758"/>
    </row>
    <row r="63759" spans="3:13" ht="12.75" customHeight="1" x14ac:dyDescent="0.2">
      <c r="C63759"/>
      <c r="M63759"/>
    </row>
    <row r="63760" spans="3:13" ht="12.75" customHeight="1" x14ac:dyDescent="0.2">
      <c r="C63760"/>
      <c r="M63760"/>
    </row>
    <row r="63761" spans="3:13" ht="12.75" customHeight="1" x14ac:dyDescent="0.2">
      <c r="C63761"/>
      <c r="M63761"/>
    </row>
    <row r="63762" spans="3:13" ht="12.75" customHeight="1" x14ac:dyDescent="0.2">
      <c r="C63762"/>
      <c r="M63762"/>
    </row>
    <row r="63763" spans="3:13" ht="12.75" customHeight="1" x14ac:dyDescent="0.2">
      <c r="C63763"/>
      <c r="M63763"/>
    </row>
    <row r="63764" spans="3:13" ht="12.75" customHeight="1" x14ac:dyDescent="0.2">
      <c r="C63764"/>
      <c r="M63764"/>
    </row>
    <row r="63765" spans="3:13" ht="12.75" customHeight="1" x14ac:dyDescent="0.2">
      <c r="C63765"/>
      <c r="M63765"/>
    </row>
    <row r="63766" spans="3:13" ht="12.75" customHeight="1" x14ac:dyDescent="0.2">
      <c r="C63766"/>
      <c r="M63766"/>
    </row>
    <row r="63767" spans="3:13" ht="12.75" customHeight="1" x14ac:dyDescent="0.2">
      <c r="C63767"/>
      <c r="M63767"/>
    </row>
    <row r="63768" spans="3:13" ht="12.75" customHeight="1" x14ac:dyDescent="0.2">
      <c r="C63768"/>
      <c r="M63768"/>
    </row>
    <row r="63769" spans="3:13" ht="12.75" customHeight="1" x14ac:dyDescent="0.2">
      <c r="C63769"/>
      <c r="M63769"/>
    </row>
    <row r="63770" spans="3:13" ht="12.75" customHeight="1" x14ac:dyDescent="0.2">
      <c r="C63770"/>
      <c r="M63770"/>
    </row>
    <row r="63771" spans="3:13" ht="12.75" customHeight="1" x14ac:dyDescent="0.2">
      <c r="C63771"/>
      <c r="M63771"/>
    </row>
    <row r="63772" spans="3:13" ht="12.75" customHeight="1" x14ac:dyDescent="0.2">
      <c r="C63772"/>
      <c r="M63772"/>
    </row>
    <row r="63773" spans="3:13" ht="12.75" customHeight="1" x14ac:dyDescent="0.2">
      <c r="C63773"/>
      <c r="M63773"/>
    </row>
    <row r="63774" spans="3:13" ht="12.75" customHeight="1" x14ac:dyDescent="0.2">
      <c r="C63774"/>
      <c r="M63774"/>
    </row>
    <row r="63775" spans="3:13" ht="12.75" customHeight="1" x14ac:dyDescent="0.2">
      <c r="C63775"/>
      <c r="M63775"/>
    </row>
    <row r="63776" spans="3:13" ht="12.75" customHeight="1" x14ac:dyDescent="0.2">
      <c r="C63776"/>
      <c r="M63776"/>
    </row>
    <row r="63777" spans="3:13" ht="12.75" customHeight="1" x14ac:dyDescent="0.2">
      <c r="C63777"/>
      <c r="M63777"/>
    </row>
    <row r="63778" spans="3:13" ht="12.75" customHeight="1" x14ac:dyDescent="0.2">
      <c r="C63778"/>
      <c r="M63778"/>
    </row>
    <row r="63779" spans="3:13" ht="12.75" customHeight="1" x14ac:dyDescent="0.2">
      <c r="C63779"/>
      <c r="M63779"/>
    </row>
    <row r="63780" spans="3:13" ht="12.75" customHeight="1" x14ac:dyDescent="0.2">
      <c r="C63780"/>
      <c r="M63780"/>
    </row>
    <row r="63781" spans="3:13" ht="12.75" customHeight="1" x14ac:dyDescent="0.2">
      <c r="C63781"/>
      <c r="M63781"/>
    </row>
    <row r="63782" spans="3:13" ht="12.75" customHeight="1" x14ac:dyDescent="0.2">
      <c r="C63782"/>
      <c r="M63782"/>
    </row>
    <row r="63783" spans="3:13" ht="12.75" customHeight="1" x14ac:dyDescent="0.2">
      <c r="C63783"/>
      <c r="M63783"/>
    </row>
    <row r="63784" spans="3:13" ht="12.75" customHeight="1" x14ac:dyDescent="0.2">
      <c r="C63784"/>
      <c r="M63784"/>
    </row>
    <row r="63785" spans="3:13" ht="12.75" customHeight="1" x14ac:dyDescent="0.2">
      <c r="C63785"/>
      <c r="M63785"/>
    </row>
    <row r="63786" spans="3:13" ht="12.75" customHeight="1" x14ac:dyDescent="0.2">
      <c r="C63786"/>
      <c r="M63786"/>
    </row>
    <row r="63787" spans="3:13" ht="12.75" customHeight="1" x14ac:dyDescent="0.2">
      <c r="C63787"/>
      <c r="M63787"/>
    </row>
    <row r="63788" spans="3:13" ht="12.75" customHeight="1" x14ac:dyDescent="0.2">
      <c r="C63788"/>
      <c r="M63788"/>
    </row>
    <row r="63789" spans="3:13" ht="12.75" customHeight="1" x14ac:dyDescent="0.2">
      <c r="C63789"/>
      <c r="M63789"/>
    </row>
    <row r="63790" spans="3:13" ht="12.75" customHeight="1" x14ac:dyDescent="0.2">
      <c r="C63790"/>
      <c r="M63790"/>
    </row>
    <row r="63791" spans="3:13" ht="12.75" customHeight="1" x14ac:dyDescent="0.2">
      <c r="C63791"/>
      <c r="M63791"/>
    </row>
    <row r="63792" spans="3:13" ht="12.75" customHeight="1" x14ac:dyDescent="0.2">
      <c r="C63792"/>
      <c r="M63792"/>
    </row>
    <row r="63793" spans="3:13" ht="12.75" customHeight="1" x14ac:dyDescent="0.2">
      <c r="C63793"/>
      <c r="M63793"/>
    </row>
    <row r="63794" spans="3:13" ht="12.75" customHeight="1" x14ac:dyDescent="0.2">
      <c r="C63794"/>
      <c r="M63794"/>
    </row>
    <row r="63795" spans="3:13" ht="12.75" customHeight="1" x14ac:dyDescent="0.2">
      <c r="C63795"/>
      <c r="M63795"/>
    </row>
    <row r="63796" spans="3:13" ht="12.75" customHeight="1" x14ac:dyDescent="0.2">
      <c r="C63796"/>
      <c r="M63796"/>
    </row>
    <row r="63797" spans="3:13" ht="12.75" customHeight="1" x14ac:dyDescent="0.2">
      <c r="C63797"/>
      <c r="M63797"/>
    </row>
    <row r="63798" spans="3:13" ht="12.75" customHeight="1" x14ac:dyDescent="0.2">
      <c r="C63798"/>
      <c r="M63798"/>
    </row>
    <row r="63799" spans="3:13" ht="12.75" customHeight="1" x14ac:dyDescent="0.2">
      <c r="C63799"/>
      <c r="M63799"/>
    </row>
    <row r="63800" spans="3:13" ht="12.75" customHeight="1" x14ac:dyDescent="0.2">
      <c r="C63800"/>
      <c r="M63800"/>
    </row>
    <row r="63801" spans="3:13" ht="12.75" customHeight="1" x14ac:dyDescent="0.2">
      <c r="C63801"/>
      <c r="M63801"/>
    </row>
    <row r="63802" spans="3:13" ht="12.75" customHeight="1" x14ac:dyDescent="0.2">
      <c r="C63802"/>
      <c r="M63802"/>
    </row>
    <row r="63803" spans="3:13" ht="12.75" customHeight="1" x14ac:dyDescent="0.2">
      <c r="C63803"/>
      <c r="M63803"/>
    </row>
    <row r="63804" spans="3:13" ht="12.75" customHeight="1" x14ac:dyDescent="0.2">
      <c r="C63804"/>
      <c r="M63804"/>
    </row>
    <row r="63805" spans="3:13" ht="12.75" customHeight="1" x14ac:dyDescent="0.2">
      <c r="C63805"/>
      <c r="M63805"/>
    </row>
    <row r="63806" spans="3:13" ht="12.75" customHeight="1" x14ac:dyDescent="0.2">
      <c r="C63806"/>
      <c r="M63806"/>
    </row>
    <row r="63807" spans="3:13" ht="12.75" customHeight="1" x14ac:dyDescent="0.2">
      <c r="C63807"/>
      <c r="M63807"/>
    </row>
    <row r="63808" spans="3:13" ht="12.75" customHeight="1" x14ac:dyDescent="0.2">
      <c r="C63808"/>
      <c r="M63808"/>
    </row>
    <row r="63809" spans="3:13" ht="12.75" customHeight="1" x14ac:dyDescent="0.2">
      <c r="C63809"/>
      <c r="M63809"/>
    </row>
    <row r="63810" spans="3:13" ht="12.75" customHeight="1" x14ac:dyDescent="0.2">
      <c r="C63810"/>
      <c r="M63810"/>
    </row>
    <row r="63811" spans="3:13" ht="12.75" customHeight="1" x14ac:dyDescent="0.2">
      <c r="C63811"/>
      <c r="M63811"/>
    </row>
    <row r="63812" spans="3:13" ht="12.75" customHeight="1" x14ac:dyDescent="0.2">
      <c r="C63812"/>
      <c r="M63812"/>
    </row>
    <row r="63813" spans="3:13" ht="12.75" customHeight="1" x14ac:dyDescent="0.2">
      <c r="C63813"/>
      <c r="M63813"/>
    </row>
    <row r="63814" spans="3:13" ht="12.75" customHeight="1" x14ac:dyDescent="0.2">
      <c r="C63814"/>
      <c r="M63814"/>
    </row>
    <row r="63815" spans="3:13" ht="12.75" customHeight="1" x14ac:dyDescent="0.2">
      <c r="C63815"/>
      <c r="M63815"/>
    </row>
    <row r="63816" spans="3:13" ht="12.75" customHeight="1" x14ac:dyDescent="0.2">
      <c r="C63816"/>
      <c r="M63816"/>
    </row>
    <row r="63817" spans="3:13" ht="12.75" customHeight="1" x14ac:dyDescent="0.2">
      <c r="C63817"/>
      <c r="M63817"/>
    </row>
    <row r="63818" spans="3:13" ht="12.75" customHeight="1" x14ac:dyDescent="0.2">
      <c r="C63818"/>
      <c r="M63818"/>
    </row>
    <row r="63819" spans="3:13" ht="12.75" customHeight="1" x14ac:dyDescent="0.2">
      <c r="C63819"/>
      <c r="M63819"/>
    </row>
    <row r="63820" spans="3:13" ht="12.75" customHeight="1" x14ac:dyDescent="0.2">
      <c r="C63820"/>
      <c r="M63820"/>
    </row>
    <row r="63821" spans="3:13" ht="12.75" customHeight="1" x14ac:dyDescent="0.2">
      <c r="C63821"/>
      <c r="M63821"/>
    </row>
    <row r="63822" spans="3:13" ht="12.75" customHeight="1" x14ac:dyDescent="0.2">
      <c r="C63822"/>
      <c r="M63822"/>
    </row>
    <row r="63823" spans="3:13" ht="12.75" customHeight="1" x14ac:dyDescent="0.2">
      <c r="C63823"/>
      <c r="M63823"/>
    </row>
    <row r="63824" spans="3:13" ht="12.75" customHeight="1" x14ac:dyDescent="0.2">
      <c r="C63824"/>
      <c r="M63824"/>
    </row>
    <row r="63825" spans="3:13" ht="12.75" customHeight="1" x14ac:dyDescent="0.2">
      <c r="C63825"/>
      <c r="M63825"/>
    </row>
    <row r="63826" spans="3:13" ht="12.75" customHeight="1" x14ac:dyDescent="0.2">
      <c r="C63826"/>
      <c r="M63826"/>
    </row>
    <row r="63827" spans="3:13" ht="12.75" customHeight="1" x14ac:dyDescent="0.2">
      <c r="C63827"/>
      <c r="M63827"/>
    </row>
    <row r="63828" spans="3:13" ht="12.75" customHeight="1" x14ac:dyDescent="0.2">
      <c r="C63828"/>
      <c r="M63828"/>
    </row>
    <row r="63829" spans="3:13" ht="12.75" customHeight="1" x14ac:dyDescent="0.2">
      <c r="C63829"/>
      <c r="M63829"/>
    </row>
    <row r="63830" spans="3:13" ht="12.75" customHeight="1" x14ac:dyDescent="0.2">
      <c r="C63830"/>
      <c r="M63830"/>
    </row>
    <row r="63831" spans="3:13" ht="12.75" customHeight="1" x14ac:dyDescent="0.2">
      <c r="C63831"/>
      <c r="M63831"/>
    </row>
    <row r="63832" spans="3:13" ht="12.75" customHeight="1" x14ac:dyDescent="0.2">
      <c r="C63832"/>
      <c r="M63832"/>
    </row>
    <row r="63833" spans="3:13" ht="12.75" customHeight="1" x14ac:dyDescent="0.2">
      <c r="C63833"/>
      <c r="M63833"/>
    </row>
    <row r="63834" spans="3:13" ht="12.75" customHeight="1" x14ac:dyDescent="0.2">
      <c r="C63834"/>
      <c r="M63834"/>
    </row>
    <row r="63835" spans="3:13" ht="12.75" customHeight="1" x14ac:dyDescent="0.2">
      <c r="C63835"/>
      <c r="M63835"/>
    </row>
    <row r="63836" spans="3:13" ht="12.75" customHeight="1" x14ac:dyDescent="0.2">
      <c r="C63836"/>
      <c r="M63836"/>
    </row>
    <row r="63837" spans="3:13" ht="12.75" customHeight="1" x14ac:dyDescent="0.2">
      <c r="C63837"/>
      <c r="M63837"/>
    </row>
    <row r="63838" spans="3:13" ht="12.75" customHeight="1" x14ac:dyDescent="0.2">
      <c r="C63838"/>
      <c r="M63838"/>
    </row>
    <row r="63839" spans="3:13" ht="12.75" customHeight="1" x14ac:dyDescent="0.2">
      <c r="C63839"/>
      <c r="M63839"/>
    </row>
    <row r="63840" spans="3:13" ht="12.75" customHeight="1" x14ac:dyDescent="0.2">
      <c r="C63840"/>
      <c r="M63840"/>
    </row>
    <row r="63841" spans="3:13" ht="12.75" customHeight="1" x14ac:dyDescent="0.2">
      <c r="C63841"/>
      <c r="M63841"/>
    </row>
    <row r="63842" spans="3:13" ht="12.75" customHeight="1" x14ac:dyDescent="0.2">
      <c r="C63842"/>
      <c r="M63842"/>
    </row>
    <row r="63843" spans="3:13" ht="12.75" customHeight="1" x14ac:dyDescent="0.2">
      <c r="C63843"/>
      <c r="M63843"/>
    </row>
    <row r="63844" spans="3:13" ht="12.75" customHeight="1" x14ac:dyDescent="0.2">
      <c r="C63844"/>
      <c r="M63844"/>
    </row>
    <row r="63845" spans="3:13" ht="12.75" customHeight="1" x14ac:dyDescent="0.2">
      <c r="C63845"/>
      <c r="M63845"/>
    </row>
    <row r="63846" spans="3:13" ht="12.75" customHeight="1" x14ac:dyDescent="0.2">
      <c r="C63846"/>
      <c r="M63846"/>
    </row>
    <row r="63847" spans="3:13" ht="12.75" customHeight="1" x14ac:dyDescent="0.2">
      <c r="C63847"/>
      <c r="M63847"/>
    </row>
    <row r="63848" spans="3:13" ht="12.75" customHeight="1" x14ac:dyDescent="0.2">
      <c r="C63848"/>
      <c r="M63848"/>
    </row>
    <row r="63849" spans="3:13" ht="12.75" customHeight="1" x14ac:dyDescent="0.2">
      <c r="C63849"/>
      <c r="M63849"/>
    </row>
    <row r="63850" spans="3:13" ht="12.75" customHeight="1" x14ac:dyDescent="0.2">
      <c r="C63850"/>
      <c r="M63850"/>
    </row>
    <row r="63851" spans="3:13" ht="12.75" customHeight="1" x14ac:dyDescent="0.2">
      <c r="C63851"/>
      <c r="M63851"/>
    </row>
    <row r="63852" spans="3:13" ht="12.75" customHeight="1" x14ac:dyDescent="0.2">
      <c r="C63852"/>
      <c r="M63852"/>
    </row>
    <row r="63853" spans="3:13" ht="12.75" customHeight="1" x14ac:dyDescent="0.2">
      <c r="C63853"/>
      <c r="M63853"/>
    </row>
    <row r="63854" spans="3:13" ht="12.75" customHeight="1" x14ac:dyDescent="0.2">
      <c r="C63854"/>
      <c r="M63854"/>
    </row>
    <row r="63855" spans="3:13" ht="12.75" customHeight="1" x14ac:dyDescent="0.2">
      <c r="C63855"/>
      <c r="M63855"/>
    </row>
    <row r="63856" spans="3:13" ht="12.75" customHeight="1" x14ac:dyDescent="0.2">
      <c r="C63856"/>
      <c r="M63856"/>
    </row>
    <row r="63857" spans="3:13" ht="12.75" customHeight="1" x14ac:dyDescent="0.2">
      <c r="C63857"/>
      <c r="M63857"/>
    </row>
    <row r="63858" spans="3:13" ht="12.75" customHeight="1" x14ac:dyDescent="0.2">
      <c r="C63858"/>
      <c r="M63858"/>
    </row>
    <row r="63859" spans="3:13" ht="12.75" customHeight="1" x14ac:dyDescent="0.2">
      <c r="C63859"/>
      <c r="M63859"/>
    </row>
    <row r="63860" spans="3:13" ht="12.75" customHeight="1" x14ac:dyDescent="0.2">
      <c r="C63860"/>
      <c r="M63860"/>
    </row>
    <row r="63861" spans="3:13" ht="12.75" customHeight="1" x14ac:dyDescent="0.2">
      <c r="C63861"/>
      <c r="M63861"/>
    </row>
    <row r="63862" spans="3:13" ht="12.75" customHeight="1" x14ac:dyDescent="0.2">
      <c r="C63862"/>
      <c r="M63862"/>
    </row>
    <row r="63863" spans="3:13" ht="12.75" customHeight="1" x14ac:dyDescent="0.2">
      <c r="C63863"/>
      <c r="M63863"/>
    </row>
    <row r="63864" spans="3:13" ht="12.75" customHeight="1" x14ac:dyDescent="0.2">
      <c r="C63864"/>
      <c r="M63864"/>
    </row>
    <row r="63865" spans="3:13" ht="12.75" customHeight="1" x14ac:dyDescent="0.2">
      <c r="C63865"/>
      <c r="M63865"/>
    </row>
    <row r="63866" spans="3:13" ht="12.75" customHeight="1" x14ac:dyDescent="0.2">
      <c r="C63866"/>
      <c r="M63866"/>
    </row>
    <row r="63867" spans="3:13" ht="12.75" customHeight="1" x14ac:dyDescent="0.2">
      <c r="C63867"/>
      <c r="M63867"/>
    </row>
    <row r="63868" spans="3:13" ht="12.75" customHeight="1" x14ac:dyDescent="0.2">
      <c r="C63868"/>
      <c r="M63868"/>
    </row>
    <row r="63869" spans="3:13" ht="12.75" customHeight="1" x14ac:dyDescent="0.2">
      <c r="C63869"/>
      <c r="M63869"/>
    </row>
    <row r="63870" spans="3:13" ht="12.75" customHeight="1" x14ac:dyDescent="0.2">
      <c r="C63870"/>
      <c r="M63870"/>
    </row>
    <row r="63871" spans="3:13" ht="12.75" customHeight="1" x14ac:dyDescent="0.2">
      <c r="C63871"/>
      <c r="M63871"/>
    </row>
    <row r="63872" spans="3:13" ht="12.75" customHeight="1" x14ac:dyDescent="0.2">
      <c r="C63872"/>
      <c r="M63872"/>
    </row>
    <row r="63873" spans="3:13" ht="12.75" customHeight="1" x14ac:dyDescent="0.2">
      <c r="C63873"/>
      <c r="M63873"/>
    </row>
    <row r="63874" spans="3:13" ht="12.75" customHeight="1" x14ac:dyDescent="0.2">
      <c r="C63874"/>
      <c r="M63874"/>
    </row>
    <row r="63875" spans="3:13" ht="12.75" customHeight="1" x14ac:dyDescent="0.2">
      <c r="C63875"/>
      <c r="M63875"/>
    </row>
    <row r="63876" spans="3:13" ht="12.75" customHeight="1" x14ac:dyDescent="0.2">
      <c r="C63876"/>
      <c r="M63876"/>
    </row>
    <row r="63877" spans="3:13" ht="12.75" customHeight="1" x14ac:dyDescent="0.2">
      <c r="C63877"/>
      <c r="M63877"/>
    </row>
    <row r="63878" spans="3:13" ht="12.75" customHeight="1" x14ac:dyDescent="0.2">
      <c r="C63878"/>
      <c r="M63878"/>
    </row>
    <row r="63879" spans="3:13" ht="12.75" customHeight="1" x14ac:dyDescent="0.2">
      <c r="C63879"/>
      <c r="M63879"/>
    </row>
    <row r="63880" spans="3:13" ht="12.75" customHeight="1" x14ac:dyDescent="0.2">
      <c r="C63880"/>
      <c r="M63880"/>
    </row>
    <row r="63881" spans="3:13" ht="12.75" customHeight="1" x14ac:dyDescent="0.2">
      <c r="C63881"/>
      <c r="M63881"/>
    </row>
    <row r="63882" spans="3:13" ht="12.75" customHeight="1" x14ac:dyDescent="0.2">
      <c r="C63882"/>
      <c r="M63882"/>
    </row>
    <row r="63883" spans="3:13" ht="12.75" customHeight="1" x14ac:dyDescent="0.2">
      <c r="C63883"/>
      <c r="M63883"/>
    </row>
    <row r="63884" spans="3:13" ht="12.75" customHeight="1" x14ac:dyDescent="0.2">
      <c r="C63884"/>
      <c r="M63884"/>
    </row>
    <row r="63885" spans="3:13" ht="12.75" customHeight="1" x14ac:dyDescent="0.2">
      <c r="C63885"/>
      <c r="M63885"/>
    </row>
    <row r="63886" spans="3:13" ht="12.75" customHeight="1" x14ac:dyDescent="0.2">
      <c r="C63886"/>
      <c r="M63886"/>
    </row>
    <row r="63887" spans="3:13" ht="12.75" customHeight="1" x14ac:dyDescent="0.2">
      <c r="C63887"/>
      <c r="M63887"/>
    </row>
    <row r="63888" spans="3:13" ht="12.75" customHeight="1" x14ac:dyDescent="0.2">
      <c r="C63888"/>
      <c r="M63888"/>
    </row>
    <row r="63889" spans="3:13" ht="12.75" customHeight="1" x14ac:dyDescent="0.2">
      <c r="C63889"/>
      <c r="M63889"/>
    </row>
    <row r="63890" spans="3:13" ht="12.75" customHeight="1" x14ac:dyDescent="0.2">
      <c r="C63890"/>
      <c r="M63890"/>
    </row>
    <row r="63891" spans="3:13" ht="12.75" customHeight="1" x14ac:dyDescent="0.2">
      <c r="C63891"/>
      <c r="M63891"/>
    </row>
    <row r="63892" spans="3:13" ht="12.75" customHeight="1" x14ac:dyDescent="0.2">
      <c r="C63892"/>
      <c r="M63892"/>
    </row>
    <row r="63893" spans="3:13" ht="12.75" customHeight="1" x14ac:dyDescent="0.2">
      <c r="C63893"/>
      <c r="M63893"/>
    </row>
    <row r="63894" spans="3:13" ht="12.75" customHeight="1" x14ac:dyDescent="0.2">
      <c r="C63894"/>
      <c r="M63894"/>
    </row>
    <row r="63895" spans="3:13" ht="12.75" customHeight="1" x14ac:dyDescent="0.2">
      <c r="C63895"/>
      <c r="M63895"/>
    </row>
    <row r="63896" spans="3:13" ht="12.75" customHeight="1" x14ac:dyDescent="0.2">
      <c r="C63896"/>
      <c r="M63896"/>
    </row>
    <row r="63897" spans="3:13" ht="12.75" customHeight="1" x14ac:dyDescent="0.2">
      <c r="C63897"/>
      <c r="M63897"/>
    </row>
    <row r="63898" spans="3:13" ht="12.75" customHeight="1" x14ac:dyDescent="0.2">
      <c r="C63898"/>
      <c r="M63898"/>
    </row>
    <row r="63899" spans="3:13" ht="12.75" customHeight="1" x14ac:dyDescent="0.2">
      <c r="C63899"/>
      <c r="M63899"/>
    </row>
    <row r="63900" spans="3:13" ht="12.75" customHeight="1" x14ac:dyDescent="0.2">
      <c r="C63900"/>
      <c r="M63900"/>
    </row>
    <row r="63901" spans="3:13" ht="12.75" customHeight="1" x14ac:dyDescent="0.2">
      <c r="C63901"/>
      <c r="M63901"/>
    </row>
    <row r="63902" spans="3:13" ht="12.75" customHeight="1" x14ac:dyDescent="0.2">
      <c r="C63902"/>
      <c r="M63902"/>
    </row>
    <row r="63903" spans="3:13" ht="12.75" customHeight="1" x14ac:dyDescent="0.2">
      <c r="C63903"/>
      <c r="M63903"/>
    </row>
    <row r="63904" spans="3:13" ht="12.75" customHeight="1" x14ac:dyDescent="0.2">
      <c r="C63904"/>
      <c r="M63904"/>
    </row>
    <row r="63905" spans="3:13" ht="12.75" customHeight="1" x14ac:dyDescent="0.2">
      <c r="C63905"/>
      <c r="M63905"/>
    </row>
    <row r="63906" spans="3:13" ht="12.75" customHeight="1" x14ac:dyDescent="0.2">
      <c r="C63906"/>
      <c r="M63906"/>
    </row>
    <row r="63907" spans="3:13" ht="12.75" customHeight="1" x14ac:dyDescent="0.2">
      <c r="C63907"/>
      <c r="M63907"/>
    </row>
    <row r="63908" spans="3:13" ht="12.75" customHeight="1" x14ac:dyDescent="0.2">
      <c r="C63908"/>
      <c r="M63908"/>
    </row>
    <row r="63909" spans="3:13" ht="12.75" customHeight="1" x14ac:dyDescent="0.2">
      <c r="C63909"/>
      <c r="M63909"/>
    </row>
    <row r="63910" spans="3:13" ht="12.75" customHeight="1" x14ac:dyDescent="0.2">
      <c r="C63910"/>
      <c r="M63910"/>
    </row>
    <row r="63911" spans="3:13" ht="12.75" customHeight="1" x14ac:dyDescent="0.2">
      <c r="C63911"/>
      <c r="M63911"/>
    </row>
    <row r="63912" spans="3:13" ht="12.75" customHeight="1" x14ac:dyDescent="0.2">
      <c r="C63912"/>
      <c r="M63912"/>
    </row>
    <row r="63913" spans="3:13" ht="12.75" customHeight="1" x14ac:dyDescent="0.2">
      <c r="C63913"/>
      <c r="M63913"/>
    </row>
    <row r="63914" spans="3:13" ht="12.75" customHeight="1" x14ac:dyDescent="0.2">
      <c r="C63914"/>
      <c r="M63914"/>
    </row>
    <row r="63915" spans="3:13" ht="12.75" customHeight="1" x14ac:dyDescent="0.2">
      <c r="C63915"/>
      <c r="M63915"/>
    </row>
    <row r="63916" spans="3:13" ht="12.75" customHeight="1" x14ac:dyDescent="0.2">
      <c r="C63916"/>
      <c r="M63916"/>
    </row>
    <row r="63917" spans="3:13" ht="12.75" customHeight="1" x14ac:dyDescent="0.2">
      <c r="C63917"/>
      <c r="M63917"/>
    </row>
    <row r="63918" spans="3:13" ht="12.75" customHeight="1" x14ac:dyDescent="0.2">
      <c r="C63918"/>
      <c r="M63918"/>
    </row>
    <row r="63919" spans="3:13" ht="12.75" customHeight="1" x14ac:dyDescent="0.2">
      <c r="C63919"/>
      <c r="M63919"/>
    </row>
    <row r="63920" spans="3:13" ht="12.75" customHeight="1" x14ac:dyDescent="0.2">
      <c r="C63920"/>
      <c r="M63920"/>
    </row>
    <row r="63921" spans="3:13" ht="12.75" customHeight="1" x14ac:dyDescent="0.2">
      <c r="C63921"/>
      <c r="M63921"/>
    </row>
    <row r="63922" spans="3:13" ht="12.75" customHeight="1" x14ac:dyDescent="0.2">
      <c r="C63922"/>
      <c r="M63922"/>
    </row>
    <row r="63923" spans="3:13" ht="12.75" customHeight="1" x14ac:dyDescent="0.2">
      <c r="C63923"/>
      <c r="M63923"/>
    </row>
    <row r="63924" spans="3:13" ht="12.75" customHeight="1" x14ac:dyDescent="0.2">
      <c r="C63924"/>
      <c r="M63924"/>
    </row>
    <row r="63925" spans="3:13" ht="12.75" customHeight="1" x14ac:dyDescent="0.2">
      <c r="C63925"/>
      <c r="M63925"/>
    </row>
    <row r="63926" spans="3:13" ht="12.75" customHeight="1" x14ac:dyDescent="0.2">
      <c r="C63926"/>
      <c r="M63926"/>
    </row>
    <row r="63927" spans="3:13" ht="12.75" customHeight="1" x14ac:dyDescent="0.2">
      <c r="C63927"/>
      <c r="M63927"/>
    </row>
    <row r="63928" spans="3:13" ht="12.75" customHeight="1" x14ac:dyDescent="0.2">
      <c r="C63928"/>
      <c r="M63928"/>
    </row>
    <row r="63929" spans="3:13" ht="12.75" customHeight="1" x14ac:dyDescent="0.2">
      <c r="C63929"/>
      <c r="M63929"/>
    </row>
    <row r="63930" spans="3:13" ht="12.75" customHeight="1" x14ac:dyDescent="0.2">
      <c r="C63930"/>
      <c r="M63930"/>
    </row>
    <row r="63931" spans="3:13" ht="12.75" customHeight="1" x14ac:dyDescent="0.2">
      <c r="C63931"/>
      <c r="M63931"/>
    </row>
    <row r="63932" spans="3:13" ht="12.75" customHeight="1" x14ac:dyDescent="0.2">
      <c r="C63932"/>
      <c r="M63932"/>
    </row>
    <row r="63933" spans="3:13" ht="12.75" customHeight="1" x14ac:dyDescent="0.2">
      <c r="C63933"/>
      <c r="M63933"/>
    </row>
    <row r="63934" spans="3:13" ht="12.75" customHeight="1" x14ac:dyDescent="0.2">
      <c r="C63934"/>
      <c r="M63934"/>
    </row>
    <row r="63935" spans="3:13" ht="12.75" customHeight="1" x14ac:dyDescent="0.2">
      <c r="C63935"/>
      <c r="M63935"/>
    </row>
    <row r="63936" spans="3:13" ht="12.75" customHeight="1" x14ac:dyDescent="0.2">
      <c r="C63936"/>
      <c r="M63936"/>
    </row>
    <row r="63937" spans="3:13" ht="12.75" customHeight="1" x14ac:dyDescent="0.2">
      <c r="C63937"/>
      <c r="M63937"/>
    </row>
    <row r="63938" spans="3:13" ht="12.75" customHeight="1" x14ac:dyDescent="0.2">
      <c r="C63938"/>
      <c r="M63938"/>
    </row>
    <row r="63939" spans="3:13" ht="12.75" customHeight="1" x14ac:dyDescent="0.2">
      <c r="C63939"/>
      <c r="M63939"/>
    </row>
    <row r="63940" spans="3:13" ht="12.75" customHeight="1" x14ac:dyDescent="0.2">
      <c r="C63940"/>
      <c r="M63940"/>
    </row>
    <row r="63941" spans="3:13" ht="12.75" customHeight="1" x14ac:dyDescent="0.2">
      <c r="C63941"/>
      <c r="M63941"/>
    </row>
    <row r="63942" spans="3:13" ht="12.75" customHeight="1" x14ac:dyDescent="0.2">
      <c r="C63942"/>
      <c r="M63942"/>
    </row>
    <row r="63943" spans="3:13" ht="12.75" customHeight="1" x14ac:dyDescent="0.2">
      <c r="C63943"/>
      <c r="M63943"/>
    </row>
    <row r="63944" spans="3:13" ht="12.75" customHeight="1" x14ac:dyDescent="0.2">
      <c r="C63944"/>
      <c r="M63944"/>
    </row>
    <row r="63945" spans="3:13" ht="12.75" customHeight="1" x14ac:dyDescent="0.2">
      <c r="C63945"/>
      <c r="M63945"/>
    </row>
    <row r="63946" spans="3:13" ht="12.75" customHeight="1" x14ac:dyDescent="0.2">
      <c r="C63946"/>
      <c r="M63946"/>
    </row>
    <row r="63947" spans="3:13" ht="12.75" customHeight="1" x14ac:dyDescent="0.2">
      <c r="C63947"/>
      <c r="M63947"/>
    </row>
    <row r="63948" spans="3:13" ht="12.75" customHeight="1" x14ac:dyDescent="0.2">
      <c r="C63948"/>
      <c r="M63948"/>
    </row>
    <row r="63949" spans="3:13" ht="12.75" customHeight="1" x14ac:dyDescent="0.2">
      <c r="C63949"/>
      <c r="M63949"/>
    </row>
    <row r="63950" spans="3:13" ht="12.75" customHeight="1" x14ac:dyDescent="0.2">
      <c r="C63950"/>
      <c r="M63950"/>
    </row>
    <row r="63951" spans="3:13" ht="12.75" customHeight="1" x14ac:dyDescent="0.2">
      <c r="C63951"/>
      <c r="M63951"/>
    </row>
    <row r="63952" spans="3:13" ht="12.75" customHeight="1" x14ac:dyDescent="0.2">
      <c r="C63952"/>
      <c r="M63952"/>
    </row>
    <row r="63953" spans="3:13" ht="12.75" customHeight="1" x14ac:dyDescent="0.2">
      <c r="C63953"/>
      <c r="M63953"/>
    </row>
    <row r="63954" spans="3:13" ht="12.75" customHeight="1" x14ac:dyDescent="0.2">
      <c r="C63954"/>
      <c r="M63954"/>
    </row>
    <row r="63955" spans="3:13" ht="12.75" customHeight="1" x14ac:dyDescent="0.2">
      <c r="C63955"/>
      <c r="M63955"/>
    </row>
    <row r="63956" spans="3:13" ht="12.75" customHeight="1" x14ac:dyDescent="0.2">
      <c r="C63956"/>
      <c r="M63956"/>
    </row>
    <row r="63957" spans="3:13" ht="12.75" customHeight="1" x14ac:dyDescent="0.2">
      <c r="C63957"/>
      <c r="M63957"/>
    </row>
    <row r="63958" spans="3:13" ht="12.75" customHeight="1" x14ac:dyDescent="0.2">
      <c r="C63958"/>
      <c r="M63958"/>
    </row>
    <row r="63959" spans="3:13" ht="12.75" customHeight="1" x14ac:dyDescent="0.2">
      <c r="C63959"/>
      <c r="M63959"/>
    </row>
    <row r="63960" spans="3:13" ht="12.75" customHeight="1" x14ac:dyDescent="0.2">
      <c r="C63960"/>
      <c r="M63960"/>
    </row>
    <row r="63961" spans="3:13" ht="12.75" customHeight="1" x14ac:dyDescent="0.2">
      <c r="C63961"/>
      <c r="M63961"/>
    </row>
    <row r="63962" spans="3:13" ht="12.75" customHeight="1" x14ac:dyDescent="0.2">
      <c r="C63962"/>
      <c r="M63962"/>
    </row>
    <row r="63963" spans="3:13" ht="12.75" customHeight="1" x14ac:dyDescent="0.2">
      <c r="C63963"/>
      <c r="M63963"/>
    </row>
    <row r="63964" spans="3:13" ht="12.75" customHeight="1" x14ac:dyDescent="0.2">
      <c r="C63964"/>
      <c r="M63964"/>
    </row>
    <row r="63965" spans="3:13" ht="12.75" customHeight="1" x14ac:dyDescent="0.2">
      <c r="C63965"/>
      <c r="M63965"/>
    </row>
    <row r="63966" spans="3:13" ht="12.75" customHeight="1" x14ac:dyDescent="0.2">
      <c r="C63966"/>
      <c r="M63966"/>
    </row>
    <row r="63967" spans="3:13" ht="12.75" customHeight="1" x14ac:dyDescent="0.2">
      <c r="C63967"/>
      <c r="M63967"/>
    </row>
    <row r="63968" spans="3:13" ht="12.75" customHeight="1" x14ac:dyDescent="0.2">
      <c r="C63968"/>
      <c r="M63968"/>
    </row>
    <row r="63969" spans="3:13" ht="12.75" customHeight="1" x14ac:dyDescent="0.2">
      <c r="C63969"/>
      <c r="M63969"/>
    </row>
    <row r="63970" spans="3:13" ht="12.75" customHeight="1" x14ac:dyDescent="0.2">
      <c r="C63970"/>
      <c r="M63970"/>
    </row>
    <row r="63971" spans="3:13" ht="12.75" customHeight="1" x14ac:dyDescent="0.2">
      <c r="C63971"/>
      <c r="M63971"/>
    </row>
    <row r="63972" spans="3:13" ht="12.75" customHeight="1" x14ac:dyDescent="0.2">
      <c r="C63972"/>
      <c r="M63972"/>
    </row>
    <row r="63973" spans="3:13" ht="12.75" customHeight="1" x14ac:dyDescent="0.2">
      <c r="C63973"/>
      <c r="M63973"/>
    </row>
    <row r="63974" spans="3:13" ht="12.75" customHeight="1" x14ac:dyDescent="0.2">
      <c r="C63974"/>
      <c r="M63974"/>
    </row>
    <row r="63975" spans="3:13" ht="12.75" customHeight="1" x14ac:dyDescent="0.2">
      <c r="C63975"/>
      <c r="M63975"/>
    </row>
    <row r="63976" spans="3:13" ht="12.75" customHeight="1" x14ac:dyDescent="0.2">
      <c r="C63976"/>
      <c r="M63976"/>
    </row>
    <row r="63977" spans="3:13" ht="12.75" customHeight="1" x14ac:dyDescent="0.2">
      <c r="C63977"/>
      <c r="M63977"/>
    </row>
    <row r="63978" spans="3:13" ht="12.75" customHeight="1" x14ac:dyDescent="0.2">
      <c r="C63978"/>
      <c r="M63978"/>
    </row>
    <row r="63979" spans="3:13" ht="12.75" customHeight="1" x14ac:dyDescent="0.2">
      <c r="C63979"/>
      <c r="M63979"/>
    </row>
    <row r="63980" spans="3:13" ht="12.75" customHeight="1" x14ac:dyDescent="0.2">
      <c r="C63980"/>
      <c r="M63980"/>
    </row>
    <row r="63981" spans="3:13" ht="12.75" customHeight="1" x14ac:dyDescent="0.2">
      <c r="C63981"/>
      <c r="M63981"/>
    </row>
    <row r="63982" spans="3:13" ht="12.75" customHeight="1" x14ac:dyDescent="0.2">
      <c r="C63982"/>
      <c r="M63982"/>
    </row>
    <row r="63983" spans="3:13" ht="12.75" customHeight="1" x14ac:dyDescent="0.2">
      <c r="C63983"/>
      <c r="M63983"/>
    </row>
    <row r="63984" spans="3:13" ht="12.75" customHeight="1" x14ac:dyDescent="0.2">
      <c r="C63984"/>
      <c r="M63984"/>
    </row>
    <row r="63985" spans="3:13" ht="12.75" customHeight="1" x14ac:dyDescent="0.2">
      <c r="C63985"/>
      <c r="M63985"/>
    </row>
    <row r="63986" spans="3:13" ht="12.75" customHeight="1" x14ac:dyDescent="0.2">
      <c r="C63986"/>
      <c r="M63986"/>
    </row>
    <row r="63987" spans="3:13" ht="12.75" customHeight="1" x14ac:dyDescent="0.2">
      <c r="C63987"/>
      <c r="M63987"/>
    </row>
    <row r="63988" spans="3:13" ht="12.75" customHeight="1" x14ac:dyDescent="0.2">
      <c r="C63988"/>
      <c r="M63988"/>
    </row>
    <row r="63989" spans="3:13" ht="12.75" customHeight="1" x14ac:dyDescent="0.2">
      <c r="C63989"/>
      <c r="M63989"/>
    </row>
    <row r="63990" spans="3:13" ht="12.75" customHeight="1" x14ac:dyDescent="0.2">
      <c r="C63990"/>
      <c r="M63990"/>
    </row>
    <row r="63991" spans="3:13" ht="12.75" customHeight="1" x14ac:dyDescent="0.2">
      <c r="C63991"/>
      <c r="M63991"/>
    </row>
    <row r="63992" spans="3:13" ht="12.75" customHeight="1" x14ac:dyDescent="0.2">
      <c r="C63992"/>
      <c r="M63992"/>
    </row>
    <row r="63993" spans="3:13" ht="12.75" customHeight="1" x14ac:dyDescent="0.2">
      <c r="C63993"/>
      <c r="M63993"/>
    </row>
    <row r="63994" spans="3:13" ht="12.75" customHeight="1" x14ac:dyDescent="0.2">
      <c r="C63994"/>
      <c r="M63994"/>
    </row>
    <row r="63995" spans="3:13" ht="12.75" customHeight="1" x14ac:dyDescent="0.2">
      <c r="C63995"/>
      <c r="M63995"/>
    </row>
    <row r="63996" spans="3:13" ht="12.75" customHeight="1" x14ac:dyDescent="0.2">
      <c r="C63996"/>
      <c r="M63996"/>
    </row>
    <row r="63997" spans="3:13" ht="12.75" customHeight="1" x14ac:dyDescent="0.2">
      <c r="C63997"/>
      <c r="M63997"/>
    </row>
    <row r="63998" spans="3:13" ht="12.75" customHeight="1" x14ac:dyDescent="0.2">
      <c r="C63998"/>
      <c r="M63998"/>
    </row>
    <row r="63999" spans="3:13" ht="12.75" customHeight="1" x14ac:dyDescent="0.2">
      <c r="C63999"/>
      <c r="M63999"/>
    </row>
    <row r="64000" spans="3:13" ht="12.75" customHeight="1" x14ac:dyDescent="0.2">
      <c r="C64000"/>
      <c r="M64000"/>
    </row>
    <row r="64001" spans="3:13" ht="12.75" customHeight="1" x14ac:dyDescent="0.2">
      <c r="C64001"/>
      <c r="M64001"/>
    </row>
    <row r="64002" spans="3:13" ht="12.75" customHeight="1" x14ac:dyDescent="0.2">
      <c r="C64002"/>
      <c r="M64002"/>
    </row>
    <row r="64003" spans="3:13" ht="12.75" customHeight="1" x14ac:dyDescent="0.2">
      <c r="C64003"/>
      <c r="M64003"/>
    </row>
    <row r="64004" spans="3:13" ht="12.75" customHeight="1" x14ac:dyDescent="0.2">
      <c r="C64004"/>
      <c r="M64004"/>
    </row>
    <row r="64005" spans="3:13" ht="12.75" customHeight="1" x14ac:dyDescent="0.2">
      <c r="C64005"/>
      <c r="M64005"/>
    </row>
    <row r="64006" spans="3:13" ht="12.75" customHeight="1" x14ac:dyDescent="0.2">
      <c r="C64006"/>
      <c r="M64006"/>
    </row>
    <row r="64007" spans="3:13" ht="12.75" customHeight="1" x14ac:dyDescent="0.2">
      <c r="C64007"/>
      <c r="M64007"/>
    </row>
    <row r="64008" spans="3:13" ht="12.75" customHeight="1" x14ac:dyDescent="0.2">
      <c r="C64008"/>
      <c r="M64008"/>
    </row>
    <row r="64009" spans="3:13" ht="12.75" customHeight="1" x14ac:dyDescent="0.2">
      <c r="C64009"/>
      <c r="M64009"/>
    </row>
    <row r="64010" spans="3:13" ht="12.75" customHeight="1" x14ac:dyDescent="0.2">
      <c r="C64010"/>
      <c r="M64010"/>
    </row>
    <row r="64011" spans="3:13" ht="12.75" customHeight="1" x14ac:dyDescent="0.2">
      <c r="C64011"/>
      <c r="M64011"/>
    </row>
    <row r="64012" spans="3:13" ht="12.75" customHeight="1" x14ac:dyDescent="0.2">
      <c r="C64012"/>
      <c r="M64012"/>
    </row>
    <row r="64013" spans="3:13" ht="12.75" customHeight="1" x14ac:dyDescent="0.2">
      <c r="C64013"/>
      <c r="M64013"/>
    </row>
    <row r="64014" spans="3:13" ht="12.75" customHeight="1" x14ac:dyDescent="0.2">
      <c r="C64014"/>
      <c r="M64014"/>
    </row>
    <row r="64015" spans="3:13" ht="12.75" customHeight="1" x14ac:dyDescent="0.2">
      <c r="C64015"/>
      <c r="M64015"/>
    </row>
    <row r="64016" spans="3:13" ht="12.75" customHeight="1" x14ac:dyDescent="0.2">
      <c r="C64016"/>
      <c r="M64016"/>
    </row>
    <row r="64017" spans="3:13" ht="12.75" customHeight="1" x14ac:dyDescent="0.2">
      <c r="C64017"/>
      <c r="M64017"/>
    </row>
    <row r="64018" spans="3:13" ht="12.75" customHeight="1" x14ac:dyDescent="0.2">
      <c r="C64018"/>
      <c r="M64018"/>
    </row>
    <row r="64019" spans="3:13" ht="12.75" customHeight="1" x14ac:dyDescent="0.2">
      <c r="C64019"/>
      <c r="M64019"/>
    </row>
    <row r="64020" spans="3:13" ht="12.75" customHeight="1" x14ac:dyDescent="0.2">
      <c r="C64020"/>
      <c r="M64020"/>
    </row>
    <row r="64021" spans="3:13" ht="12.75" customHeight="1" x14ac:dyDescent="0.2">
      <c r="C64021"/>
      <c r="M64021"/>
    </row>
    <row r="64022" spans="3:13" ht="12.75" customHeight="1" x14ac:dyDescent="0.2">
      <c r="C64022"/>
      <c r="M64022"/>
    </row>
    <row r="64023" spans="3:13" ht="12.75" customHeight="1" x14ac:dyDescent="0.2">
      <c r="C64023"/>
      <c r="M64023"/>
    </row>
    <row r="64024" spans="3:13" ht="12.75" customHeight="1" x14ac:dyDescent="0.2">
      <c r="C64024"/>
      <c r="M64024"/>
    </row>
    <row r="64025" spans="3:13" ht="12.75" customHeight="1" x14ac:dyDescent="0.2">
      <c r="C64025"/>
      <c r="M64025"/>
    </row>
    <row r="64026" spans="3:13" ht="12.75" customHeight="1" x14ac:dyDescent="0.2">
      <c r="C64026"/>
      <c r="M64026"/>
    </row>
    <row r="64027" spans="3:13" ht="12.75" customHeight="1" x14ac:dyDescent="0.2">
      <c r="C64027"/>
      <c r="M64027"/>
    </row>
    <row r="64028" spans="3:13" ht="12.75" customHeight="1" x14ac:dyDescent="0.2">
      <c r="C64028"/>
      <c r="M64028"/>
    </row>
    <row r="64029" spans="3:13" ht="12.75" customHeight="1" x14ac:dyDescent="0.2">
      <c r="C64029"/>
      <c r="M64029"/>
    </row>
    <row r="64030" spans="3:13" ht="12.75" customHeight="1" x14ac:dyDescent="0.2">
      <c r="C64030"/>
      <c r="M64030"/>
    </row>
    <row r="64031" spans="3:13" ht="12.75" customHeight="1" x14ac:dyDescent="0.2">
      <c r="C64031"/>
      <c r="M64031"/>
    </row>
    <row r="64032" spans="3:13" ht="12.75" customHeight="1" x14ac:dyDescent="0.2">
      <c r="C64032"/>
      <c r="M64032"/>
    </row>
    <row r="64033" spans="3:13" ht="12.75" customHeight="1" x14ac:dyDescent="0.2">
      <c r="C64033"/>
      <c r="M64033"/>
    </row>
    <row r="64034" spans="3:13" ht="12.75" customHeight="1" x14ac:dyDescent="0.2">
      <c r="C64034"/>
      <c r="M64034"/>
    </row>
    <row r="64035" spans="3:13" ht="12.75" customHeight="1" x14ac:dyDescent="0.2">
      <c r="C64035"/>
      <c r="M64035"/>
    </row>
    <row r="64036" spans="3:13" ht="12.75" customHeight="1" x14ac:dyDescent="0.2">
      <c r="C64036"/>
      <c r="M64036"/>
    </row>
    <row r="64037" spans="3:13" ht="12.75" customHeight="1" x14ac:dyDescent="0.2">
      <c r="C64037"/>
      <c r="M64037"/>
    </row>
    <row r="64038" spans="3:13" ht="12.75" customHeight="1" x14ac:dyDescent="0.2">
      <c r="C64038"/>
      <c r="M64038"/>
    </row>
    <row r="64039" spans="3:13" ht="12.75" customHeight="1" x14ac:dyDescent="0.2">
      <c r="C64039"/>
      <c r="M64039"/>
    </row>
    <row r="64040" spans="3:13" ht="12.75" customHeight="1" x14ac:dyDescent="0.2">
      <c r="C64040"/>
      <c r="M64040"/>
    </row>
    <row r="64041" spans="3:13" ht="12.75" customHeight="1" x14ac:dyDescent="0.2">
      <c r="C64041"/>
      <c r="M64041"/>
    </row>
    <row r="64042" spans="3:13" ht="12.75" customHeight="1" x14ac:dyDescent="0.2">
      <c r="C64042"/>
      <c r="M64042"/>
    </row>
    <row r="64043" spans="3:13" ht="12.75" customHeight="1" x14ac:dyDescent="0.2">
      <c r="C64043"/>
      <c r="M64043"/>
    </row>
    <row r="64044" spans="3:13" ht="12.75" customHeight="1" x14ac:dyDescent="0.2">
      <c r="C64044"/>
      <c r="M64044"/>
    </row>
    <row r="64045" spans="3:13" ht="12.75" customHeight="1" x14ac:dyDescent="0.2">
      <c r="C64045"/>
      <c r="M64045"/>
    </row>
    <row r="64046" spans="3:13" ht="12.75" customHeight="1" x14ac:dyDescent="0.2">
      <c r="C64046"/>
      <c r="M64046"/>
    </row>
    <row r="64047" spans="3:13" ht="12.75" customHeight="1" x14ac:dyDescent="0.2">
      <c r="C64047"/>
      <c r="M64047"/>
    </row>
    <row r="64048" spans="3:13" ht="12.75" customHeight="1" x14ac:dyDescent="0.2">
      <c r="C64048"/>
      <c r="M64048"/>
    </row>
    <row r="64049" spans="3:13" ht="12.75" customHeight="1" x14ac:dyDescent="0.2">
      <c r="C64049"/>
      <c r="M64049"/>
    </row>
    <row r="64050" spans="3:13" ht="12.75" customHeight="1" x14ac:dyDescent="0.2">
      <c r="C64050"/>
      <c r="M64050"/>
    </row>
    <row r="64051" spans="3:13" ht="12.75" customHeight="1" x14ac:dyDescent="0.2">
      <c r="C64051"/>
      <c r="M64051"/>
    </row>
    <row r="64052" spans="3:13" ht="12.75" customHeight="1" x14ac:dyDescent="0.2">
      <c r="C64052"/>
      <c r="M64052"/>
    </row>
    <row r="64053" spans="3:13" ht="12.75" customHeight="1" x14ac:dyDescent="0.2">
      <c r="C64053"/>
      <c r="M64053"/>
    </row>
    <row r="64054" spans="3:13" ht="12.75" customHeight="1" x14ac:dyDescent="0.2">
      <c r="C64054"/>
      <c r="M64054"/>
    </row>
    <row r="64055" spans="3:13" ht="12.75" customHeight="1" x14ac:dyDescent="0.2">
      <c r="C64055"/>
      <c r="M64055"/>
    </row>
    <row r="64056" spans="3:13" ht="12.75" customHeight="1" x14ac:dyDescent="0.2">
      <c r="C64056"/>
      <c r="M64056"/>
    </row>
    <row r="64057" spans="3:13" ht="12.75" customHeight="1" x14ac:dyDescent="0.2">
      <c r="C64057"/>
      <c r="M64057"/>
    </row>
    <row r="64058" spans="3:13" ht="12.75" customHeight="1" x14ac:dyDescent="0.2">
      <c r="C64058"/>
      <c r="M64058"/>
    </row>
    <row r="64059" spans="3:13" ht="12.75" customHeight="1" x14ac:dyDescent="0.2">
      <c r="C64059"/>
      <c r="M64059"/>
    </row>
    <row r="64060" spans="3:13" ht="12.75" customHeight="1" x14ac:dyDescent="0.2">
      <c r="C64060"/>
      <c r="M64060"/>
    </row>
    <row r="64061" spans="3:13" ht="12.75" customHeight="1" x14ac:dyDescent="0.2">
      <c r="C64061"/>
      <c r="M64061"/>
    </row>
    <row r="64062" spans="3:13" ht="12.75" customHeight="1" x14ac:dyDescent="0.2">
      <c r="C64062"/>
      <c r="M64062"/>
    </row>
    <row r="64063" spans="3:13" ht="12.75" customHeight="1" x14ac:dyDescent="0.2">
      <c r="C64063"/>
      <c r="M64063"/>
    </row>
    <row r="64064" spans="3:13" ht="12.75" customHeight="1" x14ac:dyDescent="0.2">
      <c r="C64064"/>
      <c r="M64064"/>
    </row>
    <row r="64065" spans="3:13" ht="12.75" customHeight="1" x14ac:dyDescent="0.2">
      <c r="C64065"/>
      <c r="M64065"/>
    </row>
    <row r="64066" spans="3:13" ht="12.75" customHeight="1" x14ac:dyDescent="0.2">
      <c r="C64066"/>
      <c r="M64066"/>
    </row>
    <row r="64067" spans="3:13" ht="12.75" customHeight="1" x14ac:dyDescent="0.2">
      <c r="C64067"/>
      <c r="M64067"/>
    </row>
    <row r="64068" spans="3:13" ht="12.75" customHeight="1" x14ac:dyDescent="0.2">
      <c r="C64068"/>
      <c r="M64068"/>
    </row>
    <row r="64069" spans="3:13" ht="12.75" customHeight="1" x14ac:dyDescent="0.2">
      <c r="C64069"/>
      <c r="M64069"/>
    </row>
    <row r="64070" spans="3:13" ht="12.75" customHeight="1" x14ac:dyDescent="0.2">
      <c r="C64070"/>
      <c r="M64070"/>
    </row>
    <row r="64071" spans="3:13" ht="12.75" customHeight="1" x14ac:dyDescent="0.2">
      <c r="C64071"/>
      <c r="M64071"/>
    </row>
    <row r="64072" spans="3:13" ht="12.75" customHeight="1" x14ac:dyDescent="0.2">
      <c r="C64072"/>
      <c r="M64072"/>
    </row>
    <row r="64073" spans="3:13" ht="12.75" customHeight="1" x14ac:dyDescent="0.2">
      <c r="C64073"/>
      <c r="M64073"/>
    </row>
    <row r="64074" spans="3:13" ht="12.75" customHeight="1" x14ac:dyDescent="0.2">
      <c r="C64074"/>
      <c r="M64074"/>
    </row>
    <row r="64075" spans="3:13" ht="12.75" customHeight="1" x14ac:dyDescent="0.2">
      <c r="C64075"/>
      <c r="M64075"/>
    </row>
    <row r="64076" spans="3:13" ht="12.75" customHeight="1" x14ac:dyDescent="0.2">
      <c r="C64076"/>
      <c r="M64076"/>
    </row>
    <row r="64077" spans="3:13" ht="12.75" customHeight="1" x14ac:dyDescent="0.2">
      <c r="C64077"/>
      <c r="M64077"/>
    </row>
    <row r="64078" spans="3:13" ht="12.75" customHeight="1" x14ac:dyDescent="0.2">
      <c r="C64078"/>
      <c r="M64078"/>
    </row>
    <row r="64079" spans="3:13" ht="12.75" customHeight="1" x14ac:dyDescent="0.2">
      <c r="C64079"/>
      <c r="M64079"/>
    </row>
    <row r="64080" spans="3:13" ht="12.75" customHeight="1" x14ac:dyDescent="0.2">
      <c r="C64080"/>
      <c r="M64080"/>
    </row>
    <row r="64081" spans="3:13" ht="12.75" customHeight="1" x14ac:dyDescent="0.2">
      <c r="C64081"/>
      <c r="M64081"/>
    </row>
    <row r="64082" spans="3:13" ht="12.75" customHeight="1" x14ac:dyDescent="0.2">
      <c r="C64082"/>
      <c r="M64082"/>
    </row>
    <row r="64083" spans="3:13" ht="12.75" customHeight="1" x14ac:dyDescent="0.2">
      <c r="C64083"/>
      <c r="M64083"/>
    </row>
    <row r="64084" spans="3:13" ht="12.75" customHeight="1" x14ac:dyDescent="0.2">
      <c r="C64084"/>
      <c r="M64084"/>
    </row>
    <row r="64085" spans="3:13" ht="12.75" customHeight="1" x14ac:dyDescent="0.2">
      <c r="C64085"/>
      <c r="M64085"/>
    </row>
    <row r="64086" spans="3:13" ht="12.75" customHeight="1" x14ac:dyDescent="0.2">
      <c r="C64086"/>
      <c r="M64086"/>
    </row>
    <row r="64087" spans="3:13" ht="12.75" customHeight="1" x14ac:dyDescent="0.2">
      <c r="C64087"/>
      <c r="M64087"/>
    </row>
    <row r="64088" spans="3:13" ht="12.75" customHeight="1" x14ac:dyDescent="0.2">
      <c r="C64088"/>
      <c r="M64088"/>
    </row>
    <row r="64089" spans="3:13" ht="12.75" customHeight="1" x14ac:dyDescent="0.2">
      <c r="C64089"/>
      <c r="M64089"/>
    </row>
    <row r="64090" spans="3:13" ht="12.75" customHeight="1" x14ac:dyDescent="0.2">
      <c r="C64090"/>
      <c r="M64090"/>
    </row>
    <row r="64091" spans="3:13" ht="12.75" customHeight="1" x14ac:dyDescent="0.2">
      <c r="C64091"/>
      <c r="M64091"/>
    </row>
    <row r="64092" spans="3:13" ht="12.75" customHeight="1" x14ac:dyDescent="0.2">
      <c r="C64092"/>
      <c r="M64092"/>
    </row>
    <row r="64093" spans="3:13" ht="12.75" customHeight="1" x14ac:dyDescent="0.2">
      <c r="C64093"/>
      <c r="M64093"/>
    </row>
    <row r="64094" spans="3:13" ht="12.75" customHeight="1" x14ac:dyDescent="0.2">
      <c r="C64094"/>
      <c r="M64094"/>
    </row>
    <row r="64095" spans="3:13" ht="12.75" customHeight="1" x14ac:dyDescent="0.2">
      <c r="C64095"/>
      <c r="M64095"/>
    </row>
    <row r="64096" spans="3:13" ht="12.75" customHeight="1" x14ac:dyDescent="0.2">
      <c r="C64096"/>
      <c r="M64096"/>
    </row>
    <row r="64097" spans="3:13" ht="12.75" customHeight="1" x14ac:dyDescent="0.2">
      <c r="C64097"/>
      <c r="M64097"/>
    </row>
    <row r="64098" spans="3:13" ht="12.75" customHeight="1" x14ac:dyDescent="0.2">
      <c r="C64098"/>
      <c r="M64098"/>
    </row>
    <row r="64099" spans="3:13" ht="12.75" customHeight="1" x14ac:dyDescent="0.2">
      <c r="C64099"/>
      <c r="M64099"/>
    </row>
    <row r="64100" spans="3:13" ht="12.75" customHeight="1" x14ac:dyDescent="0.2">
      <c r="C64100"/>
      <c r="M64100"/>
    </row>
    <row r="64101" spans="3:13" ht="12.75" customHeight="1" x14ac:dyDescent="0.2">
      <c r="C64101"/>
      <c r="M64101"/>
    </row>
    <row r="64102" spans="3:13" ht="12.75" customHeight="1" x14ac:dyDescent="0.2">
      <c r="C64102"/>
      <c r="M64102"/>
    </row>
    <row r="64103" spans="3:13" ht="12.75" customHeight="1" x14ac:dyDescent="0.2">
      <c r="C64103"/>
      <c r="M64103"/>
    </row>
    <row r="64104" spans="3:13" ht="12.75" customHeight="1" x14ac:dyDescent="0.2">
      <c r="C64104"/>
      <c r="M64104"/>
    </row>
    <row r="64105" spans="3:13" ht="12.75" customHeight="1" x14ac:dyDescent="0.2">
      <c r="C64105"/>
      <c r="M64105"/>
    </row>
    <row r="64106" spans="3:13" ht="12.75" customHeight="1" x14ac:dyDescent="0.2">
      <c r="C64106"/>
      <c r="M64106"/>
    </row>
    <row r="64107" spans="3:13" ht="12.75" customHeight="1" x14ac:dyDescent="0.2">
      <c r="C64107"/>
      <c r="M64107"/>
    </row>
    <row r="64108" spans="3:13" ht="12.75" customHeight="1" x14ac:dyDescent="0.2">
      <c r="C64108"/>
      <c r="M64108"/>
    </row>
    <row r="64109" spans="3:13" ht="12.75" customHeight="1" x14ac:dyDescent="0.2">
      <c r="C64109"/>
      <c r="M64109"/>
    </row>
    <row r="64110" spans="3:13" ht="12.75" customHeight="1" x14ac:dyDescent="0.2">
      <c r="C64110"/>
      <c r="M64110"/>
    </row>
    <row r="64111" spans="3:13" ht="12.75" customHeight="1" x14ac:dyDescent="0.2">
      <c r="C64111"/>
      <c r="M64111"/>
    </row>
    <row r="64112" spans="3:13" ht="12.75" customHeight="1" x14ac:dyDescent="0.2">
      <c r="C64112"/>
      <c r="M64112"/>
    </row>
    <row r="64113" spans="3:13" ht="12.75" customHeight="1" x14ac:dyDescent="0.2">
      <c r="C64113"/>
      <c r="M64113"/>
    </row>
    <row r="64114" spans="3:13" ht="12.75" customHeight="1" x14ac:dyDescent="0.2">
      <c r="C64114"/>
      <c r="M64114"/>
    </row>
    <row r="64115" spans="3:13" ht="12.75" customHeight="1" x14ac:dyDescent="0.2">
      <c r="C64115"/>
      <c r="M64115"/>
    </row>
    <row r="64116" spans="3:13" ht="12.75" customHeight="1" x14ac:dyDescent="0.2">
      <c r="C64116"/>
      <c r="M64116"/>
    </row>
    <row r="64117" spans="3:13" ht="12.75" customHeight="1" x14ac:dyDescent="0.2">
      <c r="C64117"/>
      <c r="M64117"/>
    </row>
    <row r="64118" spans="3:13" ht="12.75" customHeight="1" x14ac:dyDescent="0.2">
      <c r="C64118"/>
      <c r="M64118"/>
    </row>
    <row r="64119" spans="3:13" ht="12.75" customHeight="1" x14ac:dyDescent="0.2">
      <c r="C64119"/>
      <c r="M64119"/>
    </row>
    <row r="64120" spans="3:13" ht="12.75" customHeight="1" x14ac:dyDescent="0.2">
      <c r="C64120"/>
      <c r="M64120"/>
    </row>
    <row r="64121" spans="3:13" ht="12.75" customHeight="1" x14ac:dyDescent="0.2">
      <c r="C64121"/>
      <c r="M64121"/>
    </row>
    <row r="64122" spans="3:13" ht="12.75" customHeight="1" x14ac:dyDescent="0.2">
      <c r="C64122"/>
      <c r="M64122"/>
    </row>
    <row r="64123" spans="3:13" ht="12.75" customHeight="1" x14ac:dyDescent="0.2">
      <c r="C64123"/>
      <c r="M64123"/>
    </row>
    <row r="64124" spans="3:13" ht="12.75" customHeight="1" x14ac:dyDescent="0.2">
      <c r="C64124"/>
      <c r="M64124"/>
    </row>
    <row r="64125" spans="3:13" ht="12.75" customHeight="1" x14ac:dyDescent="0.2">
      <c r="C64125"/>
      <c r="M64125"/>
    </row>
    <row r="64126" spans="3:13" ht="12.75" customHeight="1" x14ac:dyDescent="0.2">
      <c r="C64126"/>
      <c r="M64126"/>
    </row>
    <row r="64127" spans="3:13" ht="12.75" customHeight="1" x14ac:dyDescent="0.2">
      <c r="C64127"/>
      <c r="M64127"/>
    </row>
    <row r="64128" spans="3:13" ht="12.75" customHeight="1" x14ac:dyDescent="0.2">
      <c r="C64128"/>
      <c r="M64128"/>
    </row>
    <row r="64129" spans="3:13" ht="12.75" customHeight="1" x14ac:dyDescent="0.2">
      <c r="C64129"/>
      <c r="M64129"/>
    </row>
    <row r="64130" spans="3:13" ht="12.75" customHeight="1" x14ac:dyDescent="0.2">
      <c r="C64130"/>
      <c r="M64130"/>
    </row>
    <row r="64131" spans="3:13" ht="12.75" customHeight="1" x14ac:dyDescent="0.2">
      <c r="C64131"/>
      <c r="M64131"/>
    </row>
    <row r="64132" spans="3:13" ht="12.75" customHeight="1" x14ac:dyDescent="0.2">
      <c r="C64132"/>
      <c r="M64132"/>
    </row>
    <row r="64133" spans="3:13" ht="12.75" customHeight="1" x14ac:dyDescent="0.2">
      <c r="C64133"/>
      <c r="M64133"/>
    </row>
    <row r="64134" spans="3:13" ht="12.75" customHeight="1" x14ac:dyDescent="0.2">
      <c r="C64134"/>
      <c r="M64134"/>
    </row>
    <row r="64135" spans="3:13" ht="12.75" customHeight="1" x14ac:dyDescent="0.2">
      <c r="C64135"/>
      <c r="M64135"/>
    </row>
    <row r="64136" spans="3:13" ht="12.75" customHeight="1" x14ac:dyDescent="0.2">
      <c r="C64136"/>
      <c r="M64136"/>
    </row>
    <row r="64137" spans="3:13" ht="12.75" customHeight="1" x14ac:dyDescent="0.2">
      <c r="C64137"/>
      <c r="M64137"/>
    </row>
    <row r="64138" spans="3:13" ht="12.75" customHeight="1" x14ac:dyDescent="0.2">
      <c r="C64138"/>
      <c r="M64138"/>
    </row>
    <row r="64139" spans="3:13" ht="12.75" customHeight="1" x14ac:dyDescent="0.2">
      <c r="C64139"/>
      <c r="M64139"/>
    </row>
    <row r="64140" spans="3:13" ht="12.75" customHeight="1" x14ac:dyDescent="0.2">
      <c r="C64140"/>
      <c r="M64140"/>
    </row>
    <row r="64141" spans="3:13" ht="12.75" customHeight="1" x14ac:dyDescent="0.2">
      <c r="C64141"/>
      <c r="M64141"/>
    </row>
    <row r="64142" spans="3:13" ht="12.75" customHeight="1" x14ac:dyDescent="0.2">
      <c r="C64142"/>
      <c r="M64142"/>
    </row>
    <row r="64143" spans="3:13" ht="12.75" customHeight="1" x14ac:dyDescent="0.2">
      <c r="C64143"/>
      <c r="M64143"/>
    </row>
    <row r="64144" spans="3:13" ht="12.75" customHeight="1" x14ac:dyDescent="0.2">
      <c r="C64144"/>
      <c r="M64144"/>
    </row>
    <row r="64145" spans="3:13" ht="12.75" customHeight="1" x14ac:dyDescent="0.2">
      <c r="C64145"/>
      <c r="M64145"/>
    </row>
    <row r="64146" spans="3:13" ht="12.75" customHeight="1" x14ac:dyDescent="0.2">
      <c r="C64146"/>
      <c r="M64146"/>
    </row>
    <row r="64147" spans="3:13" ht="12.75" customHeight="1" x14ac:dyDescent="0.2">
      <c r="C64147"/>
      <c r="M64147"/>
    </row>
    <row r="64148" spans="3:13" ht="12.75" customHeight="1" x14ac:dyDescent="0.2">
      <c r="C64148"/>
      <c r="M64148"/>
    </row>
    <row r="64149" spans="3:13" ht="12.75" customHeight="1" x14ac:dyDescent="0.2">
      <c r="C64149"/>
      <c r="M64149"/>
    </row>
    <row r="64150" spans="3:13" ht="12.75" customHeight="1" x14ac:dyDescent="0.2">
      <c r="C64150"/>
      <c r="M64150"/>
    </row>
    <row r="64151" spans="3:13" ht="12.75" customHeight="1" x14ac:dyDescent="0.2">
      <c r="C64151"/>
      <c r="M64151"/>
    </row>
    <row r="64152" spans="3:13" ht="12.75" customHeight="1" x14ac:dyDescent="0.2">
      <c r="C64152"/>
      <c r="M64152"/>
    </row>
    <row r="64153" spans="3:13" ht="12.75" customHeight="1" x14ac:dyDescent="0.2">
      <c r="C64153"/>
      <c r="M64153"/>
    </row>
    <row r="64154" spans="3:13" ht="12.75" customHeight="1" x14ac:dyDescent="0.2">
      <c r="C64154"/>
      <c r="M64154"/>
    </row>
    <row r="64155" spans="3:13" ht="12.75" customHeight="1" x14ac:dyDescent="0.2">
      <c r="C64155"/>
      <c r="M64155"/>
    </row>
    <row r="64156" spans="3:13" ht="12.75" customHeight="1" x14ac:dyDescent="0.2">
      <c r="C64156"/>
      <c r="M64156"/>
    </row>
    <row r="64157" spans="3:13" ht="12.75" customHeight="1" x14ac:dyDescent="0.2">
      <c r="C64157"/>
      <c r="M64157"/>
    </row>
    <row r="64158" spans="3:13" ht="12.75" customHeight="1" x14ac:dyDescent="0.2">
      <c r="C64158"/>
      <c r="M64158"/>
    </row>
    <row r="64159" spans="3:13" ht="12.75" customHeight="1" x14ac:dyDescent="0.2">
      <c r="C64159"/>
      <c r="M64159"/>
    </row>
    <row r="64160" spans="3:13" ht="12.75" customHeight="1" x14ac:dyDescent="0.2">
      <c r="C64160"/>
      <c r="M64160"/>
    </row>
    <row r="64161" spans="3:13" ht="12.75" customHeight="1" x14ac:dyDescent="0.2">
      <c r="C64161"/>
      <c r="M64161"/>
    </row>
    <row r="64162" spans="3:13" ht="12.75" customHeight="1" x14ac:dyDescent="0.2">
      <c r="C64162"/>
      <c r="M64162"/>
    </row>
    <row r="64163" spans="3:13" ht="12.75" customHeight="1" x14ac:dyDescent="0.2">
      <c r="C64163"/>
      <c r="M64163"/>
    </row>
    <row r="64164" spans="3:13" ht="12.75" customHeight="1" x14ac:dyDescent="0.2">
      <c r="C64164"/>
      <c r="M64164"/>
    </row>
    <row r="64165" spans="3:13" ht="12.75" customHeight="1" x14ac:dyDescent="0.2">
      <c r="C64165"/>
      <c r="M64165"/>
    </row>
    <row r="64166" spans="3:13" ht="12.75" customHeight="1" x14ac:dyDescent="0.2">
      <c r="C64166"/>
      <c r="M64166"/>
    </row>
    <row r="64167" spans="3:13" ht="12.75" customHeight="1" x14ac:dyDescent="0.2">
      <c r="C64167"/>
      <c r="M64167"/>
    </row>
    <row r="64168" spans="3:13" ht="12.75" customHeight="1" x14ac:dyDescent="0.2">
      <c r="C64168"/>
      <c r="M64168"/>
    </row>
    <row r="64169" spans="3:13" ht="12.75" customHeight="1" x14ac:dyDescent="0.2">
      <c r="C64169"/>
      <c r="M64169"/>
    </row>
    <row r="64170" spans="3:13" ht="12.75" customHeight="1" x14ac:dyDescent="0.2">
      <c r="C64170"/>
      <c r="M64170"/>
    </row>
    <row r="64171" spans="3:13" ht="12.75" customHeight="1" x14ac:dyDescent="0.2">
      <c r="C64171"/>
      <c r="M64171"/>
    </row>
    <row r="64172" spans="3:13" ht="12.75" customHeight="1" x14ac:dyDescent="0.2">
      <c r="C64172"/>
      <c r="M64172"/>
    </row>
    <row r="64173" spans="3:13" ht="12.75" customHeight="1" x14ac:dyDescent="0.2">
      <c r="C64173"/>
      <c r="M64173"/>
    </row>
    <row r="64174" spans="3:13" ht="12.75" customHeight="1" x14ac:dyDescent="0.2">
      <c r="C64174"/>
      <c r="M64174"/>
    </row>
    <row r="64175" spans="3:13" ht="12.75" customHeight="1" x14ac:dyDescent="0.2">
      <c r="C64175"/>
      <c r="M64175"/>
    </row>
    <row r="64176" spans="3:13" ht="12.75" customHeight="1" x14ac:dyDescent="0.2">
      <c r="C64176"/>
      <c r="M64176"/>
    </row>
    <row r="64177" spans="3:13" ht="12.75" customHeight="1" x14ac:dyDescent="0.2">
      <c r="C64177"/>
      <c r="M64177"/>
    </row>
    <row r="64178" spans="3:13" ht="12.75" customHeight="1" x14ac:dyDescent="0.2">
      <c r="C64178"/>
      <c r="M64178"/>
    </row>
    <row r="64179" spans="3:13" ht="12.75" customHeight="1" x14ac:dyDescent="0.2">
      <c r="C64179"/>
      <c r="M64179"/>
    </row>
    <row r="64180" spans="3:13" ht="12.75" customHeight="1" x14ac:dyDescent="0.2">
      <c r="C64180"/>
      <c r="M64180"/>
    </row>
    <row r="64181" spans="3:13" ht="12.75" customHeight="1" x14ac:dyDescent="0.2">
      <c r="C64181"/>
      <c r="M64181"/>
    </row>
    <row r="64182" spans="3:13" ht="12.75" customHeight="1" x14ac:dyDescent="0.2">
      <c r="C64182"/>
      <c r="M64182"/>
    </row>
    <row r="64183" spans="3:13" ht="12.75" customHeight="1" x14ac:dyDescent="0.2">
      <c r="C64183"/>
      <c r="M64183"/>
    </row>
    <row r="64184" spans="3:13" ht="12.75" customHeight="1" x14ac:dyDescent="0.2">
      <c r="C64184"/>
      <c r="M64184"/>
    </row>
    <row r="64185" spans="3:13" ht="12.75" customHeight="1" x14ac:dyDescent="0.2">
      <c r="C64185"/>
      <c r="M64185"/>
    </row>
    <row r="64186" spans="3:13" ht="12.75" customHeight="1" x14ac:dyDescent="0.2">
      <c r="C64186"/>
      <c r="M64186"/>
    </row>
    <row r="64187" spans="3:13" ht="12.75" customHeight="1" x14ac:dyDescent="0.2">
      <c r="C64187"/>
      <c r="M64187"/>
    </row>
    <row r="64188" spans="3:13" ht="12.75" customHeight="1" x14ac:dyDescent="0.2">
      <c r="C64188"/>
      <c r="M64188"/>
    </row>
    <row r="64189" spans="3:13" ht="12.75" customHeight="1" x14ac:dyDescent="0.2">
      <c r="C64189"/>
      <c r="M64189"/>
    </row>
    <row r="64190" spans="3:13" ht="12.75" customHeight="1" x14ac:dyDescent="0.2">
      <c r="C64190"/>
      <c r="M64190"/>
    </row>
    <row r="64191" spans="3:13" ht="12.75" customHeight="1" x14ac:dyDescent="0.2">
      <c r="C64191"/>
      <c r="M64191"/>
    </row>
    <row r="64192" spans="3:13" ht="12.75" customHeight="1" x14ac:dyDescent="0.2">
      <c r="C64192"/>
      <c r="M64192"/>
    </row>
    <row r="64193" spans="3:13" ht="12.75" customHeight="1" x14ac:dyDescent="0.2">
      <c r="C64193"/>
      <c r="M64193"/>
    </row>
    <row r="64194" spans="3:13" ht="12.75" customHeight="1" x14ac:dyDescent="0.2">
      <c r="C64194"/>
      <c r="M64194"/>
    </row>
    <row r="64195" spans="3:13" ht="12.75" customHeight="1" x14ac:dyDescent="0.2">
      <c r="C64195"/>
      <c r="M64195"/>
    </row>
    <row r="64196" spans="3:13" ht="12.75" customHeight="1" x14ac:dyDescent="0.2">
      <c r="C64196"/>
      <c r="M64196"/>
    </row>
    <row r="64197" spans="3:13" ht="12.75" customHeight="1" x14ac:dyDescent="0.2">
      <c r="C64197"/>
      <c r="M64197"/>
    </row>
    <row r="64198" spans="3:13" ht="12.75" customHeight="1" x14ac:dyDescent="0.2">
      <c r="C64198"/>
      <c r="M64198"/>
    </row>
    <row r="64199" spans="3:13" ht="12.75" customHeight="1" x14ac:dyDescent="0.2">
      <c r="C64199"/>
      <c r="M64199"/>
    </row>
    <row r="64200" spans="3:13" ht="12.75" customHeight="1" x14ac:dyDescent="0.2">
      <c r="C64200"/>
      <c r="M64200"/>
    </row>
    <row r="64201" spans="3:13" ht="12.75" customHeight="1" x14ac:dyDescent="0.2">
      <c r="C64201"/>
      <c r="M64201"/>
    </row>
    <row r="64202" spans="3:13" ht="12.75" customHeight="1" x14ac:dyDescent="0.2">
      <c r="C64202"/>
      <c r="M64202"/>
    </row>
    <row r="64203" spans="3:13" ht="12.75" customHeight="1" x14ac:dyDescent="0.2">
      <c r="C64203"/>
      <c r="M64203"/>
    </row>
    <row r="64204" spans="3:13" ht="12.75" customHeight="1" x14ac:dyDescent="0.2">
      <c r="C64204"/>
      <c r="M64204"/>
    </row>
    <row r="64205" spans="3:13" ht="12.75" customHeight="1" x14ac:dyDescent="0.2">
      <c r="C64205"/>
      <c r="M64205"/>
    </row>
    <row r="64206" spans="3:13" ht="12.75" customHeight="1" x14ac:dyDescent="0.2">
      <c r="C64206"/>
      <c r="M64206"/>
    </row>
    <row r="64207" spans="3:13" ht="12.75" customHeight="1" x14ac:dyDescent="0.2">
      <c r="C64207"/>
      <c r="M64207"/>
    </row>
    <row r="64208" spans="3:13" ht="12.75" customHeight="1" x14ac:dyDescent="0.2">
      <c r="C64208"/>
      <c r="M64208"/>
    </row>
    <row r="64209" spans="3:13" ht="12.75" customHeight="1" x14ac:dyDescent="0.2">
      <c r="C64209"/>
      <c r="M64209"/>
    </row>
    <row r="64210" spans="3:13" ht="12.75" customHeight="1" x14ac:dyDescent="0.2">
      <c r="C64210"/>
      <c r="M64210"/>
    </row>
    <row r="64211" spans="3:13" ht="12.75" customHeight="1" x14ac:dyDescent="0.2">
      <c r="C64211"/>
      <c r="M64211"/>
    </row>
    <row r="64212" spans="3:13" ht="12.75" customHeight="1" x14ac:dyDescent="0.2">
      <c r="C64212"/>
      <c r="M64212"/>
    </row>
    <row r="64213" spans="3:13" ht="12.75" customHeight="1" x14ac:dyDescent="0.2">
      <c r="C64213"/>
      <c r="M64213"/>
    </row>
    <row r="64214" spans="3:13" ht="12.75" customHeight="1" x14ac:dyDescent="0.2">
      <c r="C64214"/>
      <c r="M64214"/>
    </row>
    <row r="64215" spans="3:13" ht="12.75" customHeight="1" x14ac:dyDescent="0.2">
      <c r="C64215"/>
      <c r="M64215"/>
    </row>
    <row r="64216" spans="3:13" ht="12.75" customHeight="1" x14ac:dyDescent="0.2">
      <c r="C64216"/>
      <c r="M64216"/>
    </row>
    <row r="64217" spans="3:13" ht="12.75" customHeight="1" x14ac:dyDescent="0.2">
      <c r="C64217"/>
      <c r="M64217"/>
    </row>
    <row r="64218" spans="3:13" ht="12.75" customHeight="1" x14ac:dyDescent="0.2">
      <c r="C64218"/>
      <c r="M64218"/>
    </row>
    <row r="64219" spans="3:13" ht="12.75" customHeight="1" x14ac:dyDescent="0.2">
      <c r="C64219"/>
      <c r="M64219"/>
    </row>
    <row r="64220" spans="3:13" ht="12.75" customHeight="1" x14ac:dyDescent="0.2">
      <c r="C64220"/>
      <c r="M64220"/>
    </row>
    <row r="64221" spans="3:13" ht="12.75" customHeight="1" x14ac:dyDescent="0.2">
      <c r="C64221"/>
      <c r="M64221"/>
    </row>
    <row r="64222" spans="3:13" ht="12.75" customHeight="1" x14ac:dyDescent="0.2">
      <c r="C64222"/>
      <c r="M64222"/>
    </row>
    <row r="64223" spans="3:13" ht="12.75" customHeight="1" x14ac:dyDescent="0.2">
      <c r="C64223"/>
      <c r="M64223"/>
    </row>
    <row r="64224" spans="3:13" ht="12.75" customHeight="1" x14ac:dyDescent="0.2">
      <c r="C64224"/>
      <c r="M64224"/>
    </row>
    <row r="64225" spans="3:13" ht="12.75" customHeight="1" x14ac:dyDescent="0.2">
      <c r="C64225"/>
      <c r="M64225"/>
    </row>
    <row r="64226" spans="3:13" ht="12.75" customHeight="1" x14ac:dyDescent="0.2">
      <c r="C64226"/>
      <c r="M64226"/>
    </row>
    <row r="64227" spans="3:13" ht="12.75" customHeight="1" x14ac:dyDescent="0.2">
      <c r="C64227"/>
      <c r="M64227"/>
    </row>
    <row r="64228" spans="3:13" ht="12.75" customHeight="1" x14ac:dyDescent="0.2">
      <c r="C64228"/>
      <c r="M64228"/>
    </row>
    <row r="64229" spans="3:13" ht="12.75" customHeight="1" x14ac:dyDescent="0.2">
      <c r="C64229"/>
      <c r="M64229"/>
    </row>
    <row r="64230" spans="3:13" ht="12.75" customHeight="1" x14ac:dyDescent="0.2">
      <c r="C64230"/>
      <c r="M64230"/>
    </row>
    <row r="64231" spans="3:13" ht="12.75" customHeight="1" x14ac:dyDescent="0.2">
      <c r="C64231"/>
      <c r="M64231"/>
    </row>
    <row r="64232" spans="3:13" ht="12.75" customHeight="1" x14ac:dyDescent="0.2">
      <c r="C64232"/>
      <c r="M64232"/>
    </row>
    <row r="64233" spans="3:13" ht="12.75" customHeight="1" x14ac:dyDescent="0.2">
      <c r="C64233"/>
      <c r="M64233"/>
    </row>
    <row r="64234" spans="3:13" ht="12.75" customHeight="1" x14ac:dyDescent="0.2">
      <c r="C64234"/>
      <c r="M64234"/>
    </row>
    <row r="64235" spans="3:13" ht="12.75" customHeight="1" x14ac:dyDescent="0.2">
      <c r="C64235"/>
      <c r="M64235"/>
    </row>
    <row r="64236" spans="3:13" ht="12.75" customHeight="1" x14ac:dyDescent="0.2">
      <c r="C64236"/>
      <c r="M64236"/>
    </row>
    <row r="64237" spans="3:13" ht="12.75" customHeight="1" x14ac:dyDescent="0.2">
      <c r="C64237"/>
      <c r="M64237"/>
    </row>
    <row r="64238" spans="3:13" ht="12.75" customHeight="1" x14ac:dyDescent="0.2">
      <c r="C64238"/>
      <c r="M64238"/>
    </row>
    <row r="64239" spans="3:13" ht="12.75" customHeight="1" x14ac:dyDescent="0.2">
      <c r="C64239"/>
      <c r="M64239"/>
    </row>
    <row r="64240" spans="3:13" ht="12.75" customHeight="1" x14ac:dyDescent="0.2">
      <c r="C64240"/>
      <c r="M64240"/>
    </row>
    <row r="64241" spans="3:13" ht="12.75" customHeight="1" x14ac:dyDescent="0.2">
      <c r="C64241"/>
      <c r="M64241"/>
    </row>
    <row r="64242" spans="3:13" ht="12.75" customHeight="1" x14ac:dyDescent="0.2">
      <c r="C64242"/>
      <c r="M64242"/>
    </row>
    <row r="64243" spans="3:13" ht="12.75" customHeight="1" x14ac:dyDescent="0.2">
      <c r="C64243"/>
      <c r="M64243"/>
    </row>
    <row r="64244" spans="3:13" ht="12.75" customHeight="1" x14ac:dyDescent="0.2">
      <c r="C64244"/>
      <c r="M64244"/>
    </row>
    <row r="64245" spans="3:13" ht="12.75" customHeight="1" x14ac:dyDescent="0.2">
      <c r="C64245"/>
      <c r="M64245"/>
    </row>
    <row r="64246" spans="3:13" ht="12.75" customHeight="1" x14ac:dyDescent="0.2">
      <c r="C64246"/>
      <c r="M64246"/>
    </row>
    <row r="64247" spans="3:13" ht="12.75" customHeight="1" x14ac:dyDescent="0.2">
      <c r="C64247"/>
      <c r="M64247"/>
    </row>
    <row r="64248" spans="3:13" ht="12.75" customHeight="1" x14ac:dyDescent="0.2">
      <c r="C64248"/>
      <c r="M64248"/>
    </row>
    <row r="64249" spans="3:13" ht="12.75" customHeight="1" x14ac:dyDescent="0.2">
      <c r="C64249"/>
      <c r="M64249"/>
    </row>
    <row r="64250" spans="3:13" ht="12.75" customHeight="1" x14ac:dyDescent="0.2">
      <c r="C64250"/>
      <c r="M64250"/>
    </row>
    <row r="64251" spans="3:13" ht="12.75" customHeight="1" x14ac:dyDescent="0.2">
      <c r="C64251"/>
      <c r="M64251"/>
    </row>
    <row r="64252" spans="3:13" ht="12.75" customHeight="1" x14ac:dyDescent="0.2">
      <c r="C64252"/>
      <c r="M64252"/>
    </row>
    <row r="64253" spans="3:13" ht="12.75" customHeight="1" x14ac:dyDescent="0.2">
      <c r="C64253"/>
      <c r="M64253"/>
    </row>
    <row r="64254" spans="3:13" ht="12.75" customHeight="1" x14ac:dyDescent="0.2">
      <c r="C64254"/>
      <c r="M64254"/>
    </row>
    <row r="64255" spans="3:13" ht="12.75" customHeight="1" x14ac:dyDescent="0.2">
      <c r="C64255"/>
      <c r="M64255"/>
    </row>
    <row r="64256" spans="3:13" ht="12.75" customHeight="1" x14ac:dyDescent="0.2">
      <c r="C64256"/>
      <c r="M64256"/>
    </row>
    <row r="64257" spans="3:13" ht="12.75" customHeight="1" x14ac:dyDescent="0.2">
      <c r="C64257"/>
      <c r="M64257"/>
    </row>
    <row r="64258" spans="3:13" ht="12.75" customHeight="1" x14ac:dyDescent="0.2">
      <c r="C64258"/>
      <c r="M64258"/>
    </row>
    <row r="64259" spans="3:13" ht="12.75" customHeight="1" x14ac:dyDescent="0.2">
      <c r="C64259"/>
      <c r="M64259"/>
    </row>
    <row r="64260" spans="3:13" ht="12.75" customHeight="1" x14ac:dyDescent="0.2">
      <c r="C64260"/>
      <c r="M64260"/>
    </row>
    <row r="64261" spans="3:13" ht="12.75" customHeight="1" x14ac:dyDescent="0.2">
      <c r="C64261"/>
      <c r="M64261"/>
    </row>
    <row r="64262" spans="3:13" ht="12.75" customHeight="1" x14ac:dyDescent="0.2">
      <c r="C64262"/>
      <c r="M64262"/>
    </row>
    <row r="64263" spans="3:13" ht="12.75" customHeight="1" x14ac:dyDescent="0.2">
      <c r="C64263"/>
      <c r="M64263"/>
    </row>
    <row r="64264" spans="3:13" ht="12.75" customHeight="1" x14ac:dyDescent="0.2">
      <c r="C64264"/>
      <c r="M64264"/>
    </row>
    <row r="64265" spans="3:13" ht="12.75" customHeight="1" x14ac:dyDescent="0.2">
      <c r="C64265"/>
      <c r="M64265"/>
    </row>
    <row r="64266" spans="3:13" ht="12.75" customHeight="1" x14ac:dyDescent="0.2">
      <c r="C64266"/>
      <c r="M64266"/>
    </row>
    <row r="64267" spans="3:13" ht="12.75" customHeight="1" x14ac:dyDescent="0.2">
      <c r="C64267"/>
      <c r="M64267"/>
    </row>
    <row r="64268" spans="3:13" ht="12.75" customHeight="1" x14ac:dyDescent="0.2">
      <c r="C64268"/>
      <c r="M64268"/>
    </row>
    <row r="64269" spans="3:13" ht="12.75" customHeight="1" x14ac:dyDescent="0.2">
      <c r="C64269"/>
      <c r="M64269"/>
    </row>
    <row r="64270" spans="3:13" ht="12.75" customHeight="1" x14ac:dyDescent="0.2">
      <c r="C64270"/>
      <c r="M64270"/>
    </row>
    <row r="64271" spans="3:13" ht="12.75" customHeight="1" x14ac:dyDescent="0.2">
      <c r="C64271"/>
      <c r="M64271"/>
    </row>
    <row r="64272" spans="3:13" ht="12.75" customHeight="1" x14ac:dyDescent="0.2">
      <c r="C64272"/>
      <c r="M64272"/>
    </row>
    <row r="64273" spans="3:13" ht="12.75" customHeight="1" x14ac:dyDescent="0.2">
      <c r="C64273"/>
      <c r="M64273"/>
    </row>
    <row r="64274" spans="3:13" ht="12.75" customHeight="1" x14ac:dyDescent="0.2">
      <c r="C64274"/>
      <c r="M64274"/>
    </row>
    <row r="64275" spans="3:13" ht="12.75" customHeight="1" x14ac:dyDescent="0.2">
      <c r="C64275"/>
      <c r="M64275"/>
    </row>
    <row r="64276" spans="3:13" ht="12.75" customHeight="1" x14ac:dyDescent="0.2">
      <c r="C64276"/>
      <c r="M64276"/>
    </row>
    <row r="64277" spans="3:13" ht="12.75" customHeight="1" x14ac:dyDescent="0.2">
      <c r="C64277"/>
      <c r="M64277"/>
    </row>
    <row r="64278" spans="3:13" ht="12.75" customHeight="1" x14ac:dyDescent="0.2">
      <c r="C64278"/>
      <c r="M64278"/>
    </row>
    <row r="64279" spans="3:13" ht="12.75" customHeight="1" x14ac:dyDescent="0.2">
      <c r="C64279"/>
      <c r="M64279"/>
    </row>
    <row r="64280" spans="3:13" ht="12.75" customHeight="1" x14ac:dyDescent="0.2">
      <c r="C64280"/>
      <c r="M64280"/>
    </row>
    <row r="64281" spans="3:13" ht="12.75" customHeight="1" x14ac:dyDescent="0.2">
      <c r="C64281"/>
      <c r="M64281"/>
    </row>
    <row r="64282" spans="3:13" ht="12.75" customHeight="1" x14ac:dyDescent="0.2">
      <c r="C64282"/>
      <c r="M64282"/>
    </row>
    <row r="64283" spans="3:13" ht="12.75" customHeight="1" x14ac:dyDescent="0.2">
      <c r="C64283"/>
      <c r="M64283"/>
    </row>
    <row r="64284" spans="3:13" ht="12.75" customHeight="1" x14ac:dyDescent="0.2">
      <c r="C64284"/>
      <c r="M64284"/>
    </row>
    <row r="64285" spans="3:13" ht="12.75" customHeight="1" x14ac:dyDescent="0.2">
      <c r="C64285"/>
      <c r="M64285"/>
    </row>
    <row r="64286" spans="3:13" ht="12.75" customHeight="1" x14ac:dyDescent="0.2">
      <c r="C64286"/>
      <c r="M64286"/>
    </row>
    <row r="64287" spans="3:13" ht="12.75" customHeight="1" x14ac:dyDescent="0.2">
      <c r="C64287"/>
      <c r="M64287"/>
    </row>
    <row r="64288" spans="3:13" ht="12.75" customHeight="1" x14ac:dyDescent="0.2">
      <c r="C64288"/>
      <c r="M64288"/>
    </row>
    <row r="64289" spans="3:13" ht="12.75" customHeight="1" x14ac:dyDescent="0.2">
      <c r="C64289"/>
      <c r="M64289"/>
    </row>
    <row r="64290" spans="3:13" ht="12.75" customHeight="1" x14ac:dyDescent="0.2">
      <c r="C64290"/>
      <c r="M64290"/>
    </row>
    <row r="64291" spans="3:13" ht="12.75" customHeight="1" x14ac:dyDescent="0.2">
      <c r="C64291"/>
      <c r="M64291"/>
    </row>
    <row r="64292" spans="3:13" ht="12.75" customHeight="1" x14ac:dyDescent="0.2">
      <c r="C64292"/>
      <c r="M64292"/>
    </row>
    <row r="64293" spans="3:13" ht="12.75" customHeight="1" x14ac:dyDescent="0.2">
      <c r="C64293"/>
      <c r="M64293"/>
    </row>
    <row r="64294" spans="3:13" ht="12.75" customHeight="1" x14ac:dyDescent="0.2">
      <c r="C64294"/>
      <c r="M64294"/>
    </row>
    <row r="64295" spans="3:13" ht="12.75" customHeight="1" x14ac:dyDescent="0.2">
      <c r="C64295"/>
      <c r="M64295"/>
    </row>
    <row r="64296" spans="3:13" ht="12.75" customHeight="1" x14ac:dyDescent="0.2">
      <c r="C64296"/>
      <c r="M64296"/>
    </row>
    <row r="64297" spans="3:13" ht="12.75" customHeight="1" x14ac:dyDescent="0.2">
      <c r="C64297"/>
      <c r="M64297"/>
    </row>
    <row r="64298" spans="3:13" ht="12.75" customHeight="1" x14ac:dyDescent="0.2">
      <c r="C64298"/>
      <c r="M64298"/>
    </row>
    <row r="64299" spans="3:13" ht="12.75" customHeight="1" x14ac:dyDescent="0.2">
      <c r="C64299"/>
      <c r="M64299"/>
    </row>
    <row r="64300" spans="3:13" ht="12.75" customHeight="1" x14ac:dyDescent="0.2">
      <c r="C64300"/>
      <c r="M64300"/>
    </row>
    <row r="64301" spans="3:13" ht="12.75" customHeight="1" x14ac:dyDescent="0.2">
      <c r="C64301"/>
      <c r="M64301"/>
    </row>
    <row r="64302" spans="3:13" ht="12.75" customHeight="1" x14ac:dyDescent="0.2">
      <c r="C64302"/>
      <c r="M64302"/>
    </row>
    <row r="64303" spans="3:13" ht="12.75" customHeight="1" x14ac:dyDescent="0.2">
      <c r="C64303"/>
      <c r="M64303"/>
    </row>
    <row r="64304" spans="3:13" ht="12.75" customHeight="1" x14ac:dyDescent="0.2">
      <c r="C64304"/>
      <c r="M64304"/>
    </row>
    <row r="64305" spans="3:13" ht="12.75" customHeight="1" x14ac:dyDescent="0.2">
      <c r="C64305"/>
      <c r="M64305"/>
    </row>
    <row r="64306" spans="3:13" ht="12.75" customHeight="1" x14ac:dyDescent="0.2">
      <c r="C64306"/>
      <c r="M64306"/>
    </row>
    <row r="64307" spans="3:13" ht="12.75" customHeight="1" x14ac:dyDescent="0.2">
      <c r="C64307"/>
      <c r="M64307"/>
    </row>
    <row r="64308" spans="3:13" ht="12.75" customHeight="1" x14ac:dyDescent="0.2">
      <c r="C64308"/>
      <c r="M64308"/>
    </row>
    <row r="64309" spans="3:13" ht="12.75" customHeight="1" x14ac:dyDescent="0.2">
      <c r="C64309"/>
      <c r="M64309"/>
    </row>
    <row r="64310" spans="3:13" ht="12.75" customHeight="1" x14ac:dyDescent="0.2">
      <c r="C64310"/>
      <c r="M64310"/>
    </row>
    <row r="64311" spans="3:13" ht="12.75" customHeight="1" x14ac:dyDescent="0.2">
      <c r="C64311"/>
      <c r="M64311"/>
    </row>
    <row r="64312" spans="3:13" ht="12.75" customHeight="1" x14ac:dyDescent="0.2">
      <c r="C64312"/>
      <c r="M64312"/>
    </row>
    <row r="64313" spans="3:13" ht="12.75" customHeight="1" x14ac:dyDescent="0.2">
      <c r="C64313"/>
      <c r="M64313"/>
    </row>
    <row r="64314" spans="3:13" ht="12.75" customHeight="1" x14ac:dyDescent="0.2">
      <c r="C64314"/>
      <c r="M64314"/>
    </row>
    <row r="64315" spans="3:13" ht="12.75" customHeight="1" x14ac:dyDescent="0.2">
      <c r="C64315"/>
      <c r="M64315"/>
    </row>
    <row r="64316" spans="3:13" ht="12.75" customHeight="1" x14ac:dyDescent="0.2">
      <c r="C64316"/>
      <c r="M64316"/>
    </row>
    <row r="64317" spans="3:13" ht="12.75" customHeight="1" x14ac:dyDescent="0.2">
      <c r="C64317"/>
      <c r="M64317"/>
    </row>
    <row r="64318" spans="3:13" ht="12.75" customHeight="1" x14ac:dyDescent="0.2">
      <c r="C64318"/>
      <c r="M64318"/>
    </row>
    <row r="64319" spans="3:13" ht="12.75" customHeight="1" x14ac:dyDescent="0.2">
      <c r="C64319"/>
      <c r="M64319"/>
    </row>
    <row r="64320" spans="3:13" ht="12.75" customHeight="1" x14ac:dyDescent="0.2">
      <c r="C64320"/>
      <c r="M64320"/>
    </row>
    <row r="64321" spans="3:13" ht="12.75" customHeight="1" x14ac:dyDescent="0.2">
      <c r="C64321"/>
      <c r="M64321"/>
    </row>
    <row r="64322" spans="3:13" ht="12.75" customHeight="1" x14ac:dyDescent="0.2">
      <c r="C64322"/>
      <c r="M64322"/>
    </row>
    <row r="64323" spans="3:13" ht="12.75" customHeight="1" x14ac:dyDescent="0.2">
      <c r="C64323"/>
      <c r="M64323"/>
    </row>
    <row r="64324" spans="3:13" ht="12.75" customHeight="1" x14ac:dyDescent="0.2">
      <c r="C64324"/>
      <c r="M64324"/>
    </row>
    <row r="64325" spans="3:13" ht="12.75" customHeight="1" x14ac:dyDescent="0.2">
      <c r="C64325"/>
      <c r="M64325"/>
    </row>
    <row r="64326" spans="3:13" ht="12.75" customHeight="1" x14ac:dyDescent="0.2">
      <c r="C64326"/>
      <c r="M64326"/>
    </row>
    <row r="64327" spans="3:13" ht="12.75" customHeight="1" x14ac:dyDescent="0.2">
      <c r="C64327"/>
      <c r="M64327"/>
    </row>
    <row r="64328" spans="3:13" ht="12.75" customHeight="1" x14ac:dyDescent="0.2">
      <c r="C64328"/>
      <c r="M64328"/>
    </row>
    <row r="64329" spans="3:13" ht="12.75" customHeight="1" x14ac:dyDescent="0.2">
      <c r="C64329"/>
      <c r="M64329"/>
    </row>
    <row r="64330" spans="3:13" ht="12.75" customHeight="1" x14ac:dyDescent="0.2">
      <c r="C64330"/>
      <c r="M64330"/>
    </row>
    <row r="64331" spans="3:13" ht="12.75" customHeight="1" x14ac:dyDescent="0.2">
      <c r="C64331"/>
      <c r="M64331"/>
    </row>
    <row r="64332" spans="3:13" ht="12.75" customHeight="1" x14ac:dyDescent="0.2">
      <c r="C64332"/>
      <c r="M64332"/>
    </row>
    <row r="64333" spans="3:13" ht="12.75" customHeight="1" x14ac:dyDescent="0.2">
      <c r="C64333"/>
      <c r="M64333"/>
    </row>
    <row r="64334" spans="3:13" ht="12.75" customHeight="1" x14ac:dyDescent="0.2">
      <c r="C64334"/>
      <c r="M64334"/>
    </row>
    <row r="64335" spans="3:13" ht="12.75" customHeight="1" x14ac:dyDescent="0.2">
      <c r="C64335"/>
      <c r="M64335"/>
    </row>
    <row r="64336" spans="3:13" ht="12.75" customHeight="1" x14ac:dyDescent="0.2">
      <c r="C64336"/>
      <c r="M64336"/>
    </row>
    <row r="64337" spans="3:13" ht="12.75" customHeight="1" x14ac:dyDescent="0.2">
      <c r="C64337"/>
      <c r="M64337"/>
    </row>
    <row r="64338" spans="3:13" ht="12.75" customHeight="1" x14ac:dyDescent="0.2">
      <c r="C64338"/>
      <c r="M64338"/>
    </row>
    <row r="64339" spans="3:13" ht="12.75" customHeight="1" x14ac:dyDescent="0.2">
      <c r="C64339"/>
      <c r="M64339"/>
    </row>
    <row r="64340" spans="3:13" ht="12.75" customHeight="1" x14ac:dyDescent="0.2">
      <c r="C64340"/>
      <c r="M64340"/>
    </row>
    <row r="64341" spans="3:13" ht="12.75" customHeight="1" x14ac:dyDescent="0.2">
      <c r="C64341"/>
      <c r="M64341"/>
    </row>
    <row r="64342" spans="3:13" ht="12.75" customHeight="1" x14ac:dyDescent="0.2">
      <c r="C64342"/>
      <c r="M64342"/>
    </row>
    <row r="64343" spans="3:13" ht="12.75" customHeight="1" x14ac:dyDescent="0.2">
      <c r="C64343"/>
      <c r="M64343"/>
    </row>
    <row r="64344" spans="3:13" ht="12.75" customHeight="1" x14ac:dyDescent="0.2">
      <c r="C64344"/>
      <c r="M64344"/>
    </row>
    <row r="64345" spans="3:13" ht="12.75" customHeight="1" x14ac:dyDescent="0.2">
      <c r="C64345"/>
      <c r="M64345"/>
    </row>
    <row r="64346" spans="3:13" ht="12.75" customHeight="1" x14ac:dyDescent="0.2">
      <c r="C64346"/>
      <c r="M64346"/>
    </row>
    <row r="64347" spans="3:13" ht="12.75" customHeight="1" x14ac:dyDescent="0.2">
      <c r="C64347"/>
      <c r="M64347"/>
    </row>
    <row r="64348" spans="3:13" ht="12.75" customHeight="1" x14ac:dyDescent="0.2">
      <c r="C64348"/>
      <c r="M64348"/>
    </row>
    <row r="64349" spans="3:13" ht="12.75" customHeight="1" x14ac:dyDescent="0.2">
      <c r="C64349"/>
      <c r="M64349"/>
    </row>
    <row r="64350" spans="3:13" ht="12.75" customHeight="1" x14ac:dyDescent="0.2">
      <c r="C64350"/>
      <c r="M64350"/>
    </row>
    <row r="64351" spans="3:13" ht="12.75" customHeight="1" x14ac:dyDescent="0.2">
      <c r="C64351"/>
      <c r="M64351"/>
    </row>
    <row r="64352" spans="3:13" ht="12.75" customHeight="1" x14ac:dyDescent="0.2">
      <c r="C64352"/>
      <c r="M64352"/>
    </row>
    <row r="64353" spans="3:13" ht="12.75" customHeight="1" x14ac:dyDescent="0.2">
      <c r="C64353"/>
      <c r="M64353"/>
    </row>
    <row r="64354" spans="3:13" ht="12.75" customHeight="1" x14ac:dyDescent="0.2">
      <c r="C64354"/>
      <c r="M64354"/>
    </row>
    <row r="64355" spans="3:13" ht="12.75" customHeight="1" x14ac:dyDescent="0.2">
      <c r="C64355"/>
      <c r="M64355"/>
    </row>
    <row r="64356" spans="3:13" ht="12.75" customHeight="1" x14ac:dyDescent="0.2">
      <c r="C64356"/>
      <c r="M64356"/>
    </row>
    <row r="64357" spans="3:13" ht="12.75" customHeight="1" x14ac:dyDescent="0.2">
      <c r="C64357"/>
      <c r="M64357"/>
    </row>
    <row r="64358" spans="3:13" ht="12.75" customHeight="1" x14ac:dyDescent="0.2">
      <c r="C64358"/>
      <c r="M64358"/>
    </row>
    <row r="64359" spans="3:13" ht="12.75" customHeight="1" x14ac:dyDescent="0.2">
      <c r="C64359"/>
      <c r="M64359"/>
    </row>
    <row r="64360" spans="3:13" ht="12.75" customHeight="1" x14ac:dyDescent="0.2">
      <c r="C64360"/>
      <c r="M64360"/>
    </row>
    <row r="64361" spans="3:13" ht="12.75" customHeight="1" x14ac:dyDescent="0.2">
      <c r="C64361"/>
      <c r="M64361"/>
    </row>
    <row r="64362" spans="3:13" ht="12.75" customHeight="1" x14ac:dyDescent="0.2">
      <c r="C64362"/>
      <c r="M64362"/>
    </row>
    <row r="64363" spans="3:13" ht="12.75" customHeight="1" x14ac:dyDescent="0.2">
      <c r="C64363"/>
      <c r="M64363"/>
    </row>
    <row r="64364" spans="3:13" ht="12.75" customHeight="1" x14ac:dyDescent="0.2">
      <c r="C64364"/>
      <c r="M64364"/>
    </row>
    <row r="64365" spans="3:13" ht="12.75" customHeight="1" x14ac:dyDescent="0.2">
      <c r="C64365"/>
      <c r="M64365"/>
    </row>
    <row r="64366" spans="3:13" ht="12.75" customHeight="1" x14ac:dyDescent="0.2">
      <c r="C64366"/>
      <c r="M64366"/>
    </row>
    <row r="64367" spans="3:13" ht="12.75" customHeight="1" x14ac:dyDescent="0.2">
      <c r="C64367"/>
      <c r="M64367"/>
    </row>
    <row r="64368" spans="3:13" ht="12.75" customHeight="1" x14ac:dyDescent="0.2">
      <c r="C64368"/>
      <c r="M64368"/>
    </row>
    <row r="64369" spans="3:13" ht="12.75" customHeight="1" x14ac:dyDescent="0.2">
      <c r="C64369"/>
      <c r="M64369"/>
    </row>
    <row r="64370" spans="3:13" ht="12.75" customHeight="1" x14ac:dyDescent="0.2">
      <c r="C64370"/>
      <c r="M64370"/>
    </row>
    <row r="64371" spans="3:13" ht="12.75" customHeight="1" x14ac:dyDescent="0.2">
      <c r="C64371"/>
      <c r="M64371"/>
    </row>
    <row r="64372" spans="3:13" ht="12.75" customHeight="1" x14ac:dyDescent="0.2">
      <c r="C64372"/>
      <c r="M64372"/>
    </row>
    <row r="64373" spans="3:13" ht="12.75" customHeight="1" x14ac:dyDescent="0.2">
      <c r="C64373"/>
      <c r="M64373"/>
    </row>
    <row r="64374" spans="3:13" ht="12.75" customHeight="1" x14ac:dyDescent="0.2">
      <c r="C64374"/>
      <c r="M64374"/>
    </row>
    <row r="64375" spans="3:13" ht="12.75" customHeight="1" x14ac:dyDescent="0.2">
      <c r="C64375"/>
      <c r="M64375"/>
    </row>
    <row r="64376" spans="3:13" ht="12.75" customHeight="1" x14ac:dyDescent="0.2">
      <c r="C64376"/>
      <c r="M64376"/>
    </row>
    <row r="64377" spans="3:13" ht="12.75" customHeight="1" x14ac:dyDescent="0.2">
      <c r="C64377"/>
      <c r="M64377"/>
    </row>
    <row r="64378" spans="3:13" ht="12.75" customHeight="1" x14ac:dyDescent="0.2">
      <c r="C64378"/>
      <c r="M64378"/>
    </row>
    <row r="64379" spans="3:13" ht="12.75" customHeight="1" x14ac:dyDescent="0.2">
      <c r="C64379"/>
      <c r="M64379"/>
    </row>
    <row r="64380" spans="3:13" ht="12.75" customHeight="1" x14ac:dyDescent="0.2">
      <c r="C64380"/>
      <c r="M64380"/>
    </row>
    <row r="64381" spans="3:13" ht="12.75" customHeight="1" x14ac:dyDescent="0.2">
      <c r="C64381"/>
      <c r="M64381"/>
    </row>
    <row r="64382" spans="3:13" ht="12.75" customHeight="1" x14ac:dyDescent="0.2">
      <c r="C64382"/>
      <c r="M64382"/>
    </row>
    <row r="64383" spans="3:13" ht="12.75" customHeight="1" x14ac:dyDescent="0.2">
      <c r="C64383"/>
      <c r="M64383"/>
    </row>
    <row r="64384" spans="3:13" ht="12.75" customHeight="1" x14ac:dyDescent="0.2">
      <c r="C64384"/>
      <c r="M64384"/>
    </row>
    <row r="64385" spans="3:13" ht="12.75" customHeight="1" x14ac:dyDescent="0.2">
      <c r="C64385"/>
      <c r="M64385"/>
    </row>
    <row r="64386" spans="3:13" ht="12.75" customHeight="1" x14ac:dyDescent="0.2">
      <c r="C64386"/>
      <c r="M64386"/>
    </row>
    <row r="64387" spans="3:13" ht="12.75" customHeight="1" x14ac:dyDescent="0.2">
      <c r="C64387"/>
      <c r="M64387"/>
    </row>
    <row r="64388" spans="3:13" ht="12.75" customHeight="1" x14ac:dyDescent="0.2">
      <c r="C64388"/>
      <c r="M64388"/>
    </row>
    <row r="64389" spans="3:13" ht="12.75" customHeight="1" x14ac:dyDescent="0.2">
      <c r="C64389"/>
      <c r="M64389"/>
    </row>
    <row r="64390" spans="3:13" ht="12.75" customHeight="1" x14ac:dyDescent="0.2">
      <c r="C64390"/>
      <c r="M64390"/>
    </row>
    <row r="64391" spans="3:13" ht="12.75" customHeight="1" x14ac:dyDescent="0.2">
      <c r="C64391"/>
      <c r="M64391"/>
    </row>
    <row r="64392" spans="3:13" ht="12.75" customHeight="1" x14ac:dyDescent="0.2">
      <c r="C64392"/>
      <c r="M64392"/>
    </row>
    <row r="64393" spans="3:13" ht="12.75" customHeight="1" x14ac:dyDescent="0.2">
      <c r="C64393"/>
      <c r="M64393"/>
    </row>
    <row r="64394" spans="3:13" ht="12.75" customHeight="1" x14ac:dyDescent="0.2">
      <c r="C64394"/>
      <c r="M64394"/>
    </row>
    <row r="64395" spans="3:13" ht="12.75" customHeight="1" x14ac:dyDescent="0.2">
      <c r="C64395"/>
      <c r="M64395"/>
    </row>
    <row r="64396" spans="3:13" ht="12.75" customHeight="1" x14ac:dyDescent="0.2">
      <c r="C64396"/>
      <c r="M64396"/>
    </row>
    <row r="64397" spans="3:13" ht="12.75" customHeight="1" x14ac:dyDescent="0.2">
      <c r="C64397"/>
      <c r="M64397"/>
    </row>
    <row r="64398" spans="3:13" ht="12.75" customHeight="1" x14ac:dyDescent="0.2">
      <c r="C64398"/>
      <c r="M64398"/>
    </row>
    <row r="64399" spans="3:13" ht="12.75" customHeight="1" x14ac:dyDescent="0.2">
      <c r="C64399"/>
      <c r="M64399"/>
    </row>
    <row r="64400" spans="3:13" ht="12.75" customHeight="1" x14ac:dyDescent="0.2">
      <c r="C64400"/>
      <c r="M64400"/>
    </row>
    <row r="64401" spans="3:13" ht="12.75" customHeight="1" x14ac:dyDescent="0.2">
      <c r="C64401"/>
      <c r="M64401"/>
    </row>
    <row r="64402" spans="3:13" ht="12.75" customHeight="1" x14ac:dyDescent="0.2">
      <c r="C64402"/>
      <c r="M64402"/>
    </row>
    <row r="64403" spans="3:13" ht="12.75" customHeight="1" x14ac:dyDescent="0.2">
      <c r="C64403"/>
      <c r="M64403"/>
    </row>
    <row r="64404" spans="3:13" ht="12.75" customHeight="1" x14ac:dyDescent="0.2">
      <c r="C64404"/>
      <c r="M64404"/>
    </row>
    <row r="64405" spans="3:13" ht="12.75" customHeight="1" x14ac:dyDescent="0.2">
      <c r="C64405"/>
      <c r="M64405"/>
    </row>
    <row r="64406" spans="3:13" ht="12.75" customHeight="1" x14ac:dyDescent="0.2">
      <c r="C64406"/>
      <c r="M64406"/>
    </row>
    <row r="64407" spans="3:13" ht="12.75" customHeight="1" x14ac:dyDescent="0.2">
      <c r="C64407"/>
      <c r="M64407"/>
    </row>
    <row r="64408" spans="3:13" ht="12.75" customHeight="1" x14ac:dyDescent="0.2">
      <c r="C64408"/>
      <c r="M64408"/>
    </row>
    <row r="64409" spans="3:13" ht="12.75" customHeight="1" x14ac:dyDescent="0.2">
      <c r="C64409"/>
      <c r="M64409"/>
    </row>
    <row r="64410" spans="3:13" ht="12.75" customHeight="1" x14ac:dyDescent="0.2">
      <c r="C64410"/>
      <c r="M64410"/>
    </row>
    <row r="64411" spans="3:13" ht="12.75" customHeight="1" x14ac:dyDescent="0.2">
      <c r="C64411"/>
      <c r="M64411"/>
    </row>
    <row r="64412" spans="3:13" ht="12.75" customHeight="1" x14ac:dyDescent="0.2">
      <c r="C64412"/>
      <c r="M64412"/>
    </row>
    <row r="64413" spans="3:13" ht="12.75" customHeight="1" x14ac:dyDescent="0.2">
      <c r="C64413"/>
      <c r="M64413"/>
    </row>
    <row r="64414" spans="3:13" ht="12.75" customHeight="1" x14ac:dyDescent="0.2">
      <c r="C64414"/>
      <c r="M64414"/>
    </row>
    <row r="64415" spans="3:13" ht="12.75" customHeight="1" x14ac:dyDescent="0.2">
      <c r="C64415"/>
      <c r="M64415"/>
    </row>
    <row r="64416" spans="3:13" ht="12.75" customHeight="1" x14ac:dyDescent="0.2">
      <c r="C64416"/>
      <c r="M64416"/>
    </row>
    <row r="64417" spans="3:13" ht="12.75" customHeight="1" x14ac:dyDescent="0.2">
      <c r="C64417"/>
      <c r="M64417"/>
    </row>
    <row r="64418" spans="3:13" ht="12.75" customHeight="1" x14ac:dyDescent="0.2">
      <c r="C64418"/>
      <c r="M64418"/>
    </row>
    <row r="64419" spans="3:13" ht="12.75" customHeight="1" x14ac:dyDescent="0.2">
      <c r="C64419"/>
      <c r="M64419"/>
    </row>
    <row r="64420" spans="3:13" ht="12.75" customHeight="1" x14ac:dyDescent="0.2">
      <c r="C64420"/>
      <c r="M64420"/>
    </row>
    <row r="64421" spans="3:13" ht="12.75" customHeight="1" x14ac:dyDescent="0.2">
      <c r="C64421"/>
      <c r="M64421"/>
    </row>
    <row r="64422" spans="3:13" ht="12.75" customHeight="1" x14ac:dyDescent="0.2">
      <c r="C64422"/>
      <c r="M64422"/>
    </row>
    <row r="64423" spans="3:13" ht="12.75" customHeight="1" x14ac:dyDescent="0.2">
      <c r="C64423"/>
      <c r="M64423"/>
    </row>
    <row r="64424" spans="3:13" ht="12.75" customHeight="1" x14ac:dyDescent="0.2">
      <c r="C64424"/>
      <c r="M64424"/>
    </row>
    <row r="64425" spans="3:13" ht="12.75" customHeight="1" x14ac:dyDescent="0.2">
      <c r="C64425"/>
      <c r="M64425"/>
    </row>
    <row r="64426" spans="3:13" ht="12.75" customHeight="1" x14ac:dyDescent="0.2">
      <c r="C64426"/>
      <c r="M64426"/>
    </row>
    <row r="64427" spans="3:13" ht="12.75" customHeight="1" x14ac:dyDescent="0.2">
      <c r="C64427"/>
      <c r="M64427"/>
    </row>
    <row r="64428" spans="3:13" ht="12.75" customHeight="1" x14ac:dyDescent="0.2">
      <c r="C64428"/>
      <c r="M64428"/>
    </row>
    <row r="64429" spans="3:13" ht="12.75" customHeight="1" x14ac:dyDescent="0.2">
      <c r="C64429"/>
      <c r="M64429"/>
    </row>
    <row r="64430" spans="3:13" ht="12.75" customHeight="1" x14ac:dyDescent="0.2">
      <c r="C64430"/>
      <c r="M64430"/>
    </row>
    <row r="64431" spans="3:13" ht="12.75" customHeight="1" x14ac:dyDescent="0.2">
      <c r="C64431"/>
      <c r="M64431"/>
    </row>
    <row r="64432" spans="3:13" ht="12.75" customHeight="1" x14ac:dyDescent="0.2">
      <c r="C64432"/>
      <c r="M64432"/>
    </row>
    <row r="64433" spans="3:13" ht="12.75" customHeight="1" x14ac:dyDescent="0.2">
      <c r="C64433"/>
      <c r="M64433"/>
    </row>
    <row r="64434" spans="3:13" ht="12.75" customHeight="1" x14ac:dyDescent="0.2">
      <c r="C64434"/>
      <c r="M64434"/>
    </row>
    <row r="64435" spans="3:13" ht="12.75" customHeight="1" x14ac:dyDescent="0.2">
      <c r="C64435"/>
      <c r="M64435"/>
    </row>
    <row r="64436" spans="3:13" ht="12.75" customHeight="1" x14ac:dyDescent="0.2">
      <c r="C64436"/>
      <c r="M64436"/>
    </row>
    <row r="64437" spans="3:13" ht="12.75" customHeight="1" x14ac:dyDescent="0.2">
      <c r="C64437"/>
      <c r="M64437"/>
    </row>
    <row r="64438" spans="3:13" ht="12.75" customHeight="1" x14ac:dyDescent="0.2">
      <c r="C64438"/>
      <c r="M64438"/>
    </row>
    <row r="64439" spans="3:13" ht="12.75" customHeight="1" x14ac:dyDescent="0.2">
      <c r="C64439"/>
      <c r="M64439"/>
    </row>
    <row r="64440" spans="3:13" ht="12.75" customHeight="1" x14ac:dyDescent="0.2">
      <c r="C64440"/>
      <c r="M64440"/>
    </row>
    <row r="64441" spans="3:13" ht="12.75" customHeight="1" x14ac:dyDescent="0.2">
      <c r="C64441"/>
      <c r="M64441"/>
    </row>
    <row r="64442" spans="3:13" ht="12.75" customHeight="1" x14ac:dyDescent="0.2">
      <c r="C64442"/>
      <c r="M64442"/>
    </row>
    <row r="64443" spans="3:13" ht="12.75" customHeight="1" x14ac:dyDescent="0.2">
      <c r="C64443"/>
      <c r="M64443"/>
    </row>
    <row r="64444" spans="3:13" ht="12.75" customHeight="1" x14ac:dyDescent="0.2">
      <c r="C64444"/>
      <c r="M64444"/>
    </row>
    <row r="64445" spans="3:13" ht="12.75" customHeight="1" x14ac:dyDescent="0.2">
      <c r="C64445"/>
      <c r="M64445"/>
    </row>
    <row r="64446" spans="3:13" ht="12.75" customHeight="1" x14ac:dyDescent="0.2">
      <c r="C64446"/>
      <c r="M64446"/>
    </row>
    <row r="64447" spans="3:13" ht="12.75" customHeight="1" x14ac:dyDescent="0.2">
      <c r="C64447"/>
      <c r="M64447"/>
    </row>
    <row r="64448" spans="3:13" ht="12.75" customHeight="1" x14ac:dyDescent="0.2">
      <c r="C64448"/>
      <c r="M64448"/>
    </row>
    <row r="64449" spans="3:13" ht="12.75" customHeight="1" x14ac:dyDescent="0.2">
      <c r="C64449"/>
      <c r="M64449"/>
    </row>
    <row r="64450" spans="3:13" ht="12.75" customHeight="1" x14ac:dyDescent="0.2">
      <c r="C64450"/>
      <c r="M64450"/>
    </row>
    <row r="64451" spans="3:13" ht="12.75" customHeight="1" x14ac:dyDescent="0.2">
      <c r="C64451"/>
      <c r="M64451"/>
    </row>
    <row r="64452" spans="3:13" ht="12.75" customHeight="1" x14ac:dyDescent="0.2">
      <c r="C64452"/>
      <c r="M64452"/>
    </row>
    <row r="64453" spans="3:13" ht="12.75" customHeight="1" x14ac:dyDescent="0.2">
      <c r="C64453"/>
      <c r="M64453"/>
    </row>
    <row r="64454" spans="3:13" ht="12.75" customHeight="1" x14ac:dyDescent="0.2">
      <c r="C64454"/>
      <c r="M64454"/>
    </row>
    <row r="64455" spans="3:13" ht="12.75" customHeight="1" x14ac:dyDescent="0.2">
      <c r="C64455"/>
      <c r="M64455"/>
    </row>
    <row r="64456" spans="3:13" ht="12.75" customHeight="1" x14ac:dyDescent="0.2">
      <c r="C64456"/>
      <c r="M64456"/>
    </row>
    <row r="64457" spans="3:13" ht="12.75" customHeight="1" x14ac:dyDescent="0.2">
      <c r="C64457"/>
      <c r="M64457"/>
    </row>
    <row r="64458" spans="3:13" ht="12.75" customHeight="1" x14ac:dyDescent="0.2">
      <c r="C64458"/>
      <c r="M64458"/>
    </row>
    <row r="64459" spans="3:13" ht="12.75" customHeight="1" x14ac:dyDescent="0.2">
      <c r="C64459"/>
      <c r="M64459"/>
    </row>
    <row r="64460" spans="3:13" ht="12.75" customHeight="1" x14ac:dyDescent="0.2">
      <c r="C64460"/>
      <c r="M64460"/>
    </row>
    <row r="64461" spans="3:13" ht="12.75" customHeight="1" x14ac:dyDescent="0.2">
      <c r="C64461"/>
      <c r="M64461"/>
    </row>
    <row r="64462" spans="3:13" ht="12.75" customHeight="1" x14ac:dyDescent="0.2">
      <c r="C64462"/>
      <c r="M64462"/>
    </row>
    <row r="64463" spans="3:13" ht="12.75" customHeight="1" x14ac:dyDescent="0.2">
      <c r="C64463"/>
      <c r="M64463"/>
    </row>
    <row r="64464" spans="3:13" ht="12.75" customHeight="1" x14ac:dyDescent="0.2">
      <c r="C64464"/>
      <c r="M64464"/>
    </row>
    <row r="64465" spans="3:13" ht="12.75" customHeight="1" x14ac:dyDescent="0.2">
      <c r="C64465"/>
      <c r="M64465"/>
    </row>
    <row r="64466" spans="3:13" ht="12.75" customHeight="1" x14ac:dyDescent="0.2">
      <c r="C64466"/>
      <c r="M64466"/>
    </row>
    <row r="64467" spans="3:13" ht="12.75" customHeight="1" x14ac:dyDescent="0.2">
      <c r="C64467"/>
      <c r="M64467"/>
    </row>
    <row r="64468" spans="3:13" ht="12.75" customHeight="1" x14ac:dyDescent="0.2">
      <c r="C64468"/>
      <c r="M64468"/>
    </row>
    <row r="64469" spans="3:13" ht="12.75" customHeight="1" x14ac:dyDescent="0.2">
      <c r="C64469"/>
      <c r="M64469"/>
    </row>
    <row r="64470" spans="3:13" ht="12.75" customHeight="1" x14ac:dyDescent="0.2">
      <c r="C64470"/>
      <c r="M64470"/>
    </row>
    <row r="64471" spans="3:13" ht="12.75" customHeight="1" x14ac:dyDescent="0.2">
      <c r="C64471"/>
      <c r="M64471"/>
    </row>
    <row r="64472" spans="3:13" ht="12.75" customHeight="1" x14ac:dyDescent="0.2">
      <c r="C64472"/>
      <c r="M64472"/>
    </row>
    <row r="64473" spans="3:13" ht="12.75" customHeight="1" x14ac:dyDescent="0.2">
      <c r="C64473"/>
      <c r="M64473"/>
    </row>
    <row r="64474" spans="3:13" ht="12.75" customHeight="1" x14ac:dyDescent="0.2">
      <c r="C64474"/>
      <c r="M64474"/>
    </row>
    <row r="64475" spans="3:13" ht="12.75" customHeight="1" x14ac:dyDescent="0.2">
      <c r="C64475"/>
      <c r="M64475"/>
    </row>
    <row r="64476" spans="3:13" ht="12.75" customHeight="1" x14ac:dyDescent="0.2">
      <c r="C64476"/>
      <c r="M64476"/>
    </row>
    <row r="64477" spans="3:13" ht="12.75" customHeight="1" x14ac:dyDescent="0.2">
      <c r="C64477"/>
      <c r="M64477"/>
    </row>
    <row r="64478" spans="3:13" ht="12.75" customHeight="1" x14ac:dyDescent="0.2">
      <c r="C64478"/>
      <c r="M64478"/>
    </row>
    <row r="64479" spans="3:13" ht="12.75" customHeight="1" x14ac:dyDescent="0.2">
      <c r="C64479"/>
      <c r="M64479"/>
    </row>
    <row r="64480" spans="3:13" ht="12.75" customHeight="1" x14ac:dyDescent="0.2">
      <c r="C64480"/>
      <c r="M64480"/>
    </row>
    <row r="64481" spans="3:13" ht="12.75" customHeight="1" x14ac:dyDescent="0.2">
      <c r="C64481"/>
      <c r="M64481"/>
    </row>
    <row r="64482" spans="3:13" ht="12.75" customHeight="1" x14ac:dyDescent="0.2">
      <c r="C64482"/>
      <c r="M64482"/>
    </row>
    <row r="64483" spans="3:13" ht="12.75" customHeight="1" x14ac:dyDescent="0.2">
      <c r="C64483"/>
      <c r="M64483"/>
    </row>
    <row r="64484" spans="3:13" ht="12.75" customHeight="1" x14ac:dyDescent="0.2">
      <c r="C64484"/>
      <c r="M64484"/>
    </row>
    <row r="64485" spans="3:13" ht="12.75" customHeight="1" x14ac:dyDescent="0.2">
      <c r="C64485"/>
      <c r="M64485"/>
    </row>
    <row r="64486" spans="3:13" ht="12.75" customHeight="1" x14ac:dyDescent="0.2">
      <c r="C64486"/>
      <c r="M64486"/>
    </row>
    <row r="64487" spans="3:13" ht="12.75" customHeight="1" x14ac:dyDescent="0.2">
      <c r="C64487"/>
      <c r="M64487"/>
    </row>
    <row r="64488" spans="3:13" ht="12.75" customHeight="1" x14ac:dyDescent="0.2">
      <c r="C64488"/>
      <c r="M64488"/>
    </row>
    <row r="64489" spans="3:13" ht="12.75" customHeight="1" x14ac:dyDescent="0.2">
      <c r="C64489"/>
      <c r="M64489"/>
    </row>
    <row r="64490" spans="3:13" ht="12.75" customHeight="1" x14ac:dyDescent="0.2">
      <c r="C64490"/>
      <c r="M64490"/>
    </row>
    <row r="64491" spans="3:13" ht="12.75" customHeight="1" x14ac:dyDescent="0.2">
      <c r="C64491"/>
      <c r="M64491"/>
    </row>
    <row r="64492" spans="3:13" ht="12.75" customHeight="1" x14ac:dyDescent="0.2">
      <c r="C64492"/>
      <c r="M64492"/>
    </row>
    <row r="64493" spans="3:13" ht="12.75" customHeight="1" x14ac:dyDescent="0.2">
      <c r="C64493"/>
      <c r="M64493"/>
    </row>
    <row r="64494" spans="3:13" ht="12.75" customHeight="1" x14ac:dyDescent="0.2">
      <c r="C64494"/>
      <c r="M64494"/>
    </row>
    <row r="64495" spans="3:13" ht="12.75" customHeight="1" x14ac:dyDescent="0.2">
      <c r="C64495"/>
      <c r="M64495"/>
    </row>
    <row r="64496" spans="3:13" ht="12.75" customHeight="1" x14ac:dyDescent="0.2">
      <c r="C64496"/>
      <c r="M64496"/>
    </row>
    <row r="64497" spans="3:13" ht="12.75" customHeight="1" x14ac:dyDescent="0.2">
      <c r="C64497"/>
      <c r="M64497"/>
    </row>
    <row r="64498" spans="3:13" ht="12.75" customHeight="1" x14ac:dyDescent="0.2">
      <c r="C64498"/>
      <c r="M64498"/>
    </row>
    <row r="64499" spans="3:13" ht="12.75" customHeight="1" x14ac:dyDescent="0.2">
      <c r="C64499"/>
      <c r="M64499"/>
    </row>
    <row r="64500" spans="3:13" ht="12.75" customHeight="1" x14ac:dyDescent="0.2">
      <c r="C64500"/>
      <c r="M64500"/>
    </row>
    <row r="64501" spans="3:13" ht="12.75" customHeight="1" x14ac:dyDescent="0.2">
      <c r="C64501"/>
      <c r="M64501"/>
    </row>
    <row r="64502" spans="3:13" ht="12.75" customHeight="1" x14ac:dyDescent="0.2">
      <c r="C64502"/>
      <c r="M64502"/>
    </row>
    <row r="64503" spans="3:13" ht="12.75" customHeight="1" x14ac:dyDescent="0.2">
      <c r="C64503"/>
      <c r="M64503"/>
    </row>
    <row r="64504" spans="3:13" ht="12.75" customHeight="1" x14ac:dyDescent="0.2">
      <c r="C64504"/>
      <c r="M64504"/>
    </row>
    <row r="64505" spans="3:13" ht="12.75" customHeight="1" x14ac:dyDescent="0.2">
      <c r="C64505"/>
      <c r="M64505"/>
    </row>
    <row r="64506" spans="3:13" ht="12.75" customHeight="1" x14ac:dyDescent="0.2">
      <c r="C64506"/>
      <c r="M64506"/>
    </row>
    <row r="64507" spans="3:13" ht="12.75" customHeight="1" x14ac:dyDescent="0.2">
      <c r="C64507"/>
      <c r="M64507"/>
    </row>
    <row r="64508" spans="3:13" ht="12.75" customHeight="1" x14ac:dyDescent="0.2">
      <c r="C64508"/>
      <c r="M64508"/>
    </row>
    <row r="64509" spans="3:13" ht="12.75" customHeight="1" x14ac:dyDescent="0.2">
      <c r="C64509"/>
      <c r="M64509"/>
    </row>
    <row r="64510" spans="3:13" ht="12.75" customHeight="1" x14ac:dyDescent="0.2">
      <c r="C64510"/>
      <c r="M64510"/>
    </row>
    <row r="64511" spans="3:13" ht="12.75" customHeight="1" x14ac:dyDescent="0.2">
      <c r="C64511"/>
      <c r="M64511"/>
    </row>
    <row r="64512" spans="3:13" ht="12.75" customHeight="1" x14ac:dyDescent="0.2">
      <c r="C64512"/>
      <c r="M64512"/>
    </row>
    <row r="64513" spans="3:13" ht="12.75" customHeight="1" x14ac:dyDescent="0.2">
      <c r="C64513"/>
      <c r="M64513"/>
    </row>
    <row r="64514" spans="3:13" ht="12.75" customHeight="1" x14ac:dyDescent="0.2">
      <c r="C64514"/>
      <c r="M64514"/>
    </row>
    <row r="64515" spans="3:13" ht="12.75" customHeight="1" x14ac:dyDescent="0.2">
      <c r="C64515"/>
      <c r="M64515"/>
    </row>
    <row r="64516" spans="3:13" ht="12.75" customHeight="1" x14ac:dyDescent="0.2">
      <c r="C64516"/>
      <c r="M64516"/>
    </row>
    <row r="64517" spans="3:13" ht="12.75" customHeight="1" x14ac:dyDescent="0.2">
      <c r="C64517"/>
      <c r="M64517"/>
    </row>
    <row r="64518" spans="3:13" ht="12.75" customHeight="1" x14ac:dyDescent="0.2">
      <c r="C64518"/>
      <c r="M64518"/>
    </row>
    <row r="64519" spans="3:13" ht="12.75" customHeight="1" x14ac:dyDescent="0.2">
      <c r="C64519"/>
      <c r="M64519"/>
    </row>
    <row r="64520" spans="3:13" ht="12.75" customHeight="1" x14ac:dyDescent="0.2">
      <c r="C64520"/>
      <c r="M64520"/>
    </row>
    <row r="64521" spans="3:13" ht="12.75" customHeight="1" x14ac:dyDescent="0.2">
      <c r="C64521"/>
      <c r="M64521"/>
    </row>
    <row r="64522" spans="3:13" ht="12.75" customHeight="1" x14ac:dyDescent="0.2">
      <c r="C64522"/>
      <c r="M64522"/>
    </row>
    <row r="64523" spans="3:13" ht="12.75" customHeight="1" x14ac:dyDescent="0.2">
      <c r="C64523"/>
      <c r="M64523"/>
    </row>
    <row r="64524" spans="3:13" ht="12.75" customHeight="1" x14ac:dyDescent="0.2">
      <c r="C64524"/>
      <c r="M64524"/>
    </row>
    <row r="64525" spans="3:13" ht="12.75" customHeight="1" x14ac:dyDescent="0.2">
      <c r="C64525"/>
      <c r="M64525"/>
    </row>
    <row r="64526" spans="3:13" ht="12.75" customHeight="1" x14ac:dyDescent="0.2">
      <c r="C64526"/>
      <c r="M64526"/>
    </row>
    <row r="64527" spans="3:13" ht="12.75" customHeight="1" x14ac:dyDescent="0.2">
      <c r="C64527"/>
      <c r="M64527"/>
    </row>
    <row r="64528" spans="3:13" ht="12.75" customHeight="1" x14ac:dyDescent="0.2">
      <c r="C64528"/>
      <c r="M64528"/>
    </row>
    <row r="64529" spans="3:13" ht="12.75" customHeight="1" x14ac:dyDescent="0.2">
      <c r="C64529"/>
      <c r="M64529"/>
    </row>
    <row r="64530" spans="3:13" ht="12.75" customHeight="1" x14ac:dyDescent="0.2">
      <c r="C64530"/>
      <c r="M64530"/>
    </row>
    <row r="64531" spans="3:13" ht="12.75" customHeight="1" x14ac:dyDescent="0.2">
      <c r="C64531"/>
      <c r="M64531"/>
    </row>
    <row r="64532" spans="3:13" ht="12.75" customHeight="1" x14ac:dyDescent="0.2">
      <c r="C64532"/>
      <c r="M64532"/>
    </row>
    <row r="64533" spans="3:13" ht="12.75" customHeight="1" x14ac:dyDescent="0.2">
      <c r="C64533"/>
      <c r="M64533"/>
    </row>
    <row r="64534" spans="3:13" ht="12.75" customHeight="1" x14ac:dyDescent="0.2">
      <c r="C64534"/>
      <c r="M64534"/>
    </row>
    <row r="64535" spans="3:13" ht="12.75" customHeight="1" x14ac:dyDescent="0.2">
      <c r="C64535"/>
      <c r="M64535"/>
    </row>
    <row r="64536" spans="3:13" ht="12.75" customHeight="1" x14ac:dyDescent="0.2">
      <c r="C64536"/>
      <c r="M64536"/>
    </row>
    <row r="64537" spans="3:13" ht="12.75" customHeight="1" x14ac:dyDescent="0.2">
      <c r="C64537"/>
      <c r="M64537"/>
    </row>
    <row r="64538" spans="3:13" ht="12.75" customHeight="1" x14ac:dyDescent="0.2">
      <c r="C64538"/>
      <c r="M64538"/>
    </row>
    <row r="64539" spans="3:13" ht="12.75" customHeight="1" x14ac:dyDescent="0.2">
      <c r="C64539"/>
      <c r="M64539"/>
    </row>
    <row r="64540" spans="3:13" ht="12.75" customHeight="1" x14ac:dyDescent="0.2">
      <c r="C64540"/>
      <c r="M64540"/>
    </row>
    <row r="64541" spans="3:13" ht="12.75" customHeight="1" x14ac:dyDescent="0.2">
      <c r="C64541"/>
      <c r="M64541"/>
    </row>
    <row r="64542" spans="3:13" ht="12.75" customHeight="1" x14ac:dyDescent="0.2">
      <c r="C64542"/>
      <c r="M64542"/>
    </row>
    <row r="64543" spans="3:13" ht="12.75" customHeight="1" x14ac:dyDescent="0.2">
      <c r="C64543"/>
      <c r="M64543"/>
    </row>
    <row r="64544" spans="3:13" ht="12.75" customHeight="1" x14ac:dyDescent="0.2">
      <c r="C64544"/>
      <c r="M64544"/>
    </row>
    <row r="64545" spans="3:13" ht="12.75" customHeight="1" x14ac:dyDescent="0.2">
      <c r="C64545"/>
      <c r="M64545"/>
    </row>
    <row r="64546" spans="3:13" ht="12.75" customHeight="1" x14ac:dyDescent="0.2">
      <c r="C64546"/>
      <c r="M64546"/>
    </row>
    <row r="64547" spans="3:13" ht="12.75" customHeight="1" x14ac:dyDescent="0.2">
      <c r="C64547"/>
      <c r="M64547"/>
    </row>
    <row r="64548" spans="3:13" ht="12.75" customHeight="1" x14ac:dyDescent="0.2">
      <c r="C64548"/>
      <c r="M64548"/>
    </row>
    <row r="64549" spans="3:13" ht="12.75" customHeight="1" x14ac:dyDescent="0.2">
      <c r="C64549"/>
      <c r="M64549"/>
    </row>
    <row r="64550" spans="3:13" ht="12.75" customHeight="1" x14ac:dyDescent="0.2">
      <c r="C64550"/>
      <c r="M64550"/>
    </row>
    <row r="64551" spans="3:13" ht="12.75" customHeight="1" x14ac:dyDescent="0.2">
      <c r="C64551"/>
      <c r="M64551"/>
    </row>
    <row r="64552" spans="3:13" ht="12.75" customHeight="1" x14ac:dyDescent="0.2">
      <c r="C64552"/>
      <c r="M64552"/>
    </row>
    <row r="64553" spans="3:13" ht="12.75" customHeight="1" x14ac:dyDescent="0.2">
      <c r="C64553"/>
      <c r="M64553"/>
    </row>
    <row r="64554" spans="3:13" ht="12.75" customHeight="1" x14ac:dyDescent="0.2">
      <c r="C64554"/>
      <c r="M64554"/>
    </row>
    <row r="64555" spans="3:13" ht="12.75" customHeight="1" x14ac:dyDescent="0.2">
      <c r="C64555"/>
      <c r="M64555"/>
    </row>
    <row r="64556" spans="3:13" ht="12.75" customHeight="1" x14ac:dyDescent="0.2">
      <c r="C64556"/>
      <c r="M64556"/>
    </row>
    <row r="64557" spans="3:13" ht="12.75" customHeight="1" x14ac:dyDescent="0.2">
      <c r="C64557"/>
      <c r="M64557"/>
    </row>
    <row r="64558" spans="3:13" ht="12.75" customHeight="1" x14ac:dyDescent="0.2">
      <c r="C64558"/>
      <c r="M64558"/>
    </row>
    <row r="64559" spans="3:13" ht="12.75" customHeight="1" x14ac:dyDescent="0.2">
      <c r="C64559"/>
      <c r="M64559"/>
    </row>
    <row r="64560" spans="3:13" ht="12.75" customHeight="1" x14ac:dyDescent="0.2">
      <c r="C64560"/>
      <c r="M64560"/>
    </row>
    <row r="64561" spans="3:13" ht="12.75" customHeight="1" x14ac:dyDescent="0.2">
      <c r="C64561"/>
      <c r="M64561"/>
    </row>
    <row r="64562" spans="3:13" ht="12.75" customHeight="1" x14ac:dyDescent="0.2">
      <c r="C64562"/>
      <c r="M64562"/>
    </row>
    <row r="64563" spans="3:13" ht="12.75" customHeight="1" x14ac:dyDescent="0.2">
      <c r="C64563"/>
      <c r="M64563"/>
    </row>
    <row r="64564" spans="3:13" ht="12.75" customHeight="1" x14ac:dyDescent="0.2">
      <c r="C64564"/>
      <c r="M64564"/>
    </row>
    <row r="64565" spans="3:13" ht="12.75" customHeight="1" x14ac:dyDescent="0.2">
      <c r="C64565"/>
      <c r="M64565"/>
    </row>
    <row r="64566" spans="3:13" ht="12.75" customHeight="1" x14ac:dyDescent="0.2">
      <c r="C64566"/>
      <c r="M64566"/>
    </row>
    <row r="64567" spans="3:13" ht="12.75" customHeight="1" x14ac:dyDescent="0.2">
      <c r="C64567"/>
      <c r="M64567"/>
    </row>
    <row r="64568" spans="3:13" ht="12.75" customHeight="1" x14ac:dyDescent="0.2">
      <c r="C64568"/>
      <c r="M64568"/>
    </row>
    <row r="64569" spans="3:13" ht="12.75" customHeight="1" x14ac:dyDescent="0.2">
      <c r="C64569"/>
      <c r="M64569"/>
    </row>
    <row r="64570" spans="3:13" ht="12.75" customHeight="1" x14ac:dyDescent="0.2">
      <c r="C64570"/>
      <c r="M64570"/>
    </row>
    <row r="64571" spans="3:13" ht="12.75" customHeight="1" x14ac:dyDescent="0.2">
      <c r="C64571"/>
      <c r="M64571"/>
    </row>
    <row r="64572" spans="3:13" ht="12.75" customHeight="1" x14ac:dyDescent="0.2">
      <c r="C64572"/>
      <c r="M64572"/>
    </row>
    <row r="64573" spans="3:13" ht="12.75" customHeight="1" x14ac:dyDescent="0.2">
      <c r="C64573"/>
      <c r="M64573"/>
    </row>
    <row r="64574" spans="3:13" ht="12.75" customHeight="1" x14ac:dyDescent="0.2">
      <c r="C64574"/>
      <c r="M64574"/>
    </row>
    <row r="64575" spans="3:13" ht="12.75" customHeight="1" x14ac:dyDescent="0.2">
      <c r="C64575"/>
      <c r="M64575"/>
    </row>
    <row r="64576" spans="3:13" ht="12.75" customHeight="1" x14ac:dyDescent="0.2">
      <c r="C64576"/>
      <c r="M64576"/>
    </row>
    <row r="64577" spans="3:13" ht="12.75" customHeight="1" x14ac:dyDescent="0.2">
      <c r="C64577"/>
      <c r="M64577"/>
    </row>
    <row r="64578" spans="3:13" ht="12.75" customHeight="1" x14ac:dyDescent="0.2">
      <c r="C64578"/>
      <c r="M64578"/>
    </row>
    <row r="64579" spans="3:13" ht="12.75" customHeight="1" x14ac:dyDescent="0.2">
      <c r="C64579"/>
      <c r="M64579"/>
    </row>
    <row r="64580" spans="3:13" ht="12.75" customHeight="1" x14ac:dyDescent="0.2">
      <c r="C64580"/>
      <c r="M64580"/>
    </row>
    <row r="64581" spans="3:13" ht="12.75" customHeight="1" x14ac:dyDescent="0.2">
      <c r="C64581"/>
      <c r="M64581"/>
    </row>
    <row r="64582" spans="3:13" ht="12.75" customHeight="1" x14ac:dyDescent="0.2">
      <c r="C64582"/>
      <c r="M64582"/>
    </row>
    <row r="64583" spans="3:13" ht="12.75" customHeight="1" x14ac:dyDescent="0.2">
      <c r="C64583"/>
      <c r="M64583"/>
    </row>
    <row r="64584" spans="3:13" ht="12.75" customHeight="1" x14ac:dyDescent="0.2">
      <c r="C64584"/>
      <c r="M64584"/>
    </row>
    <row r="64585" spans="3:13" ht="12.75" customHeight="1" x14ac:dyDescent="0.2">
      <c r="C64585"/>
      <c r="M64585"/>
    </row>
    <row r="64586" spans="3:13" ht="12.75" customHeight="1" x14ac:dyDescent="0.2">
      <c r="C64586"/>
      <c r="M64586"/>
    </row>
    <row r="64587" spans="3:13" ht="12.75" customHeight="1" x14ac:dyDescent="0.2">
      <c r="C64587"/>
      <c r="M64587"/>
    </row>
    <row r="64588" spans="3:13" ht="12.75" customHeight="1" x14ac:dyDescent="0.2">
      <c r="C64588"/>
      <c r="M64588"/>
    </row>
    <row r="64589" spans="3:13" ht="12.75" customHeight="1" x14ac:dyDescent="0.2">
      <c r="C64589"/>
      <c r="M64589"/>
    </row>
    <row r="64590" spans="3:13" ht="12.75" customHeight="1" x14ac:dyDescent="0.2">
      <c r="C64590"/>
      <c r="M64590"/>
    </row>
    <row r="64591" spans="3:13" ht="12.75" customHeight="1" x14ac:dyDescent="0.2">
      <c r="C64591"/>
      <c r="M64591"/>
    </row>
    <row r="64592" spans="3:13" ht="12.75" customHeight="1" x14ac:dyDescent="0.2">
      <c r="C64592"/>
      <c r="M64592"/>
    </row>
    <row r="64593" spans="3:13" ht="12.75" customHeight="1" x14ac:dyDescent="0.2">
      <c r="C64593"/>
      <c r="M64593"/>
    </row>
    <row r="64594" spans="3:13" ht="12.75" customHeight="1" x14ac:dyDescent="0.2">
      <c r="C64594"/>
      <c r="M64594"/>
    </row>
    <row r="64595" spans="3:13" ht="12.75" customHeight="1" x14ac:dyDescent="0.2">
      <c r="C64595"/>
      <c r="M64595"/>
    </row>
    <row r="64596" spans="3:13" ht="12.75" customHeight="1" x14ac:dyDescent="0.2">
      <c r="C64596"/>
      <c r="M64596"/>
    </row>
    <row r="64597" spans="3:13" ht="12.75" customHeight="1" x14ac:dyDescent="0.2">
      <c r="C64597"/>
      <c r="M64597"/>
    </row>
    <row r="64598" spans="3:13" ht="12.75" customHeight="1" x14ac:dyDescent="0.2">
      <c r="C64598"/>
      <c r="M64598"/>
    </row>
    <row r="64599" spans="3:13" ht="12.75" customHeight="1" x14ac:dyDescent="0.2">
      <c r="C64599"/>
      <c r="M64599"/>
    </row>
    <row r="64600" spans="3:13" ht="12.75" customHeight="1" x14ac:dyDescent="0.2">
      <c r="C64600"/>
      <c r="M64600"/>
    </row>
    <row r="64601" spans="3:13" ht="12.75" customHeight="1" x14ac:dyDescent="0.2">
      <c r="C64601"/>
      <c r="M64601"/>
    </row>
    <row r="64602" spans="3:13" ht="12.75" customHeight="1" x14ac:dyDescent="0.2">
      <c r="C64602"/>
      <c r="M64602"/>
    </row>
    <row r="64603" spans="3:13" ht="12.75" customHeight="1" x14ac:dyDescent="0.2">
      <c r="C64603"/>
      <c r="M64603"/>
    </row>
    <row r="64604" spans="3:13" ht="12.75" customHeight="1" x14ac:dyDescent="0.2">
      <c r="C64604"/>
      <c r="M64604"/>
    </row>
    <row r="64605" spans="3:13" ht="12.75" customHeight="1" x14ac:dyDescent="0.2">
      <c r="C64605"/>
      <c r="M64605"/>
    </row>
    <row r="64606" spans="3:13" ht="12.75" customHeight="1" x14ac:dyDescent="0.2">
      <c r="C64606"/>
      <c r="M64606"/>
    </row>
    <row r="64607" spans="3:13" ht="12.75" customHeight="1" x14ac:dyDescent="0.2">
      <c r="C64607"/>
      <c r="M64607"/>
    </row>
    <row r="64608" spans="3:13" ht="12.75" customHeight="1" x14ac:dyDescent="0.2">
      <c r="C64608"/>
      <c r="M64608"/>
    </row>
    <row r="64609" spans="3:13" ht="12.75" customHeight="1" x14ac:dyDescent="0.2">
      <c r="C64609"/>
      <c r="M64609"/>
    </row>
    <row r="64610" spans="3:13" ht="12.75" customHeight="1" x14ac:dyDescent="0.2">
      <c r="C64610"/>
      <c r="M64610"/>
    </row>
    <row r="64611" spans="3:13" ht="12.75" customHeight="1" x14ac:dyDescent="0.2">
      <c r="C64611"/>
      <c r="M64611"/>
    </row>
    <row r="64612" spans="3:13" ht="12.75" customHeight="1" x14ac:dyDescent="0.2">
      <c r="C64612"/>
      <c r="M64612"/>
    </row>
    <row r="64613" spans="3:13" ht="12.75" customHeight="1" x14ac:dyDescent="0.2">
      <c r="C64613"/>
      <c r="M64613"/>
    </row>
    <row r="64614" spans="3:13" ht="12.75" customHeight="1" x14ac:dyDescent="0.2">
      <c r="C64614"/>
      <c r="M64614"/>
    </row>
    <row r="64615" spans="3:13" ht="12.75" customHeight="1" x14ac:dyDescent="0.2">
      <c r="C64615"/>
      <c r="M64615"/>
    </row>
    <row r="64616" spans="3:13" ht="12.75" customHeight="1" x14ac:dyDescent="0.2">
      <c r="C64616"/>
      <c r="M64616"/>
    </row>
    <row r="64617" spans="3:13" ht="12.75" customHeight="1" x14ac:dyDescent="0.2">
      <c r="C64617"/>
      <c r="M64617"/>
    </row>
    <row r="64618" spans="3:13" ht="12.75" customHeight="1" x14ac:dyDescent="0.2">
      <c r="C64618"/>
      <c r="M64618"/>
    </row>
    <row r="64619" spans="3:13" ht="12.75" customHeight="1" x14ac:dyDescent="0.2">
      <c r="C64619"/>
      <c r="M64619"/>
    </row>
    <row r="64620" spans="3:13" ht="12.75" customHeight="1" x14ac:dyDescent="0.2">
      <c r="C64620"/>
      <c r="M64620"/>
    </row>
    <row r="64621" spans="3:13" ht="12.75" customHeight="1" x14ac:dyDescent="0.2">
      <c r="C64621"/>
      <c r="M64621"/>
    </row>
    <row r="64622" spans="3:13" ht="12.75" customHeight="1" x14ac:dyDescent="0.2">
      <c r="C64622"/>
      <c r="M64622"/>
    </row>
    <row r="64623" spans="3:13" ht="12.75" customHeight="1" x14ac:dyDescent="0.2">
      <c r="C64623"/>
      <c r="M64623"/>
    </row>
    <row r="64624" spans="3:13" ht="12.75" customHeight="1" x14ac:dyDescent="0.2">
      <c r="C64624"/>
      <c r="M64624"/>
    </row>
    <row r="64625" spans="3:13" ht="12.75" customHeight="1" x14ac:dyDescent="0.2">
      <c r="C64625"/>
      <c r="M64625"/>
    </row>
    <row r="64626" spans="3:13" ht="12.75" customHeight="1" x14ac:dyDescent="0.2">
      <c r="C64626"/>
      <c r="M64626"/>
    </row>
    <row r="64627" spans="3:13" ht="12.75" customHeight="1" x14ac:dyDescent="0.2">
      <c r="C64627"/>
      <c r="M64627"/>
    </row>
    <row r="64628" spans="3:13" ht="12.75" customHeight="1" x14ac:dyDescent="0.2">
      <c r="C64628"/>
      <c r="M64628"/>
    </row>
    <row r="64629" spans="3:13" ht="12.75" customHeight="1" x14ac:dyDescent="0.2">
      <c r="C64629"/>
      <c r="M64629"/>
    </row>
    <row r="64630" spans="3:13" ht="12.75" customHeight="1" x14ac:dyDescent="0.2">
      <c r="C64630"/>
      <c r="M64630"/>
    </row>
    <row r="64631" spans="3:13" ht="12.75" customHeight="1" x14ac:dyDescent="0.2">
      <c r="C64631"/>
      <c r="M64631"/>
    </row>
    <row r="64632" spans="3:13" ht="12.75" customHeight="1" x14ac:dyDescent="0.2">
      <c r="C64632"/>
      <c r="M64632"/>
    </row>
    <row r="64633" spans="3:13" ht="12.75" customHeight="1" x14ac:dyDescent="0.2">
      <c r="C64633"/>
      <c r="M64633"/>
    </row>
    <row r="64634" spans="3:13" ht="12.75" customHeight="1" x14ac:dyDescent="0.2">
      <c r="C64634"/>
      <c r="M64634"/>
    </row>
    <row r="64635" spans="3:13" ht="12.75" customHeight="1" x14ac:dyDescent="0.2">
      <c r="C64635"/>
      <c r="M64635"/>
    </row>
    <row r="64636" spans="3:13" ht="12.75" customHeight="1" x14ac:dyDescent="0.2">
      <c r="C64636"/>
      <c r="M64636"/>
    </row>
    <row r="64637" spans="3:13" ht="12.75" customHeight="1" x14ac:dyDescent="0.2">
      <c r="C64637"/>
      <c r="M64637"/>
    </row>
    <row r="64638" spans="3:13" ht="12.75" customHeight="1" x14ac:dyDescent="0.2">
      <c r="C64638"/>
      <c r="M64638"/>
    </row>
    <row r="64639" spans="3:13" ht="12.75" customHeight="1" x14ac:dyDescent="0.2">
      <c r="C64639"/>
      <c r="M64639"/>
    </row>
    <row r="64640" spans="3:13" ht="12.75" customHeight="1" x14ac:dyDescent="0.2">
      <c r="C64640"/>
      <c r="M64640"/>
    </row>
    <row r="64641" spans="3:13" ht="12.75" customHeight="1" x14ac:dyDescent="0.2">
      <c r="C64641"/>
      <c r="M64641"/>
    </row>
    <row r="64642" spans="3:13" ht="12.75" customHeight="1" x14ac:dyDescent="0.2">
      <c r="C64642"/>
      <c r="M64642"/>
    </row>
    <row r="64643" spans="3:13" ht="12.75" customHeight="1" x14ac:dyDescent="0.2">
      <c r="C64643"/>
      <c r="M64643"/>
    </row>
    <row r="64644" spans="3:13" ht="12.75" customHeight="1" x14ac:dyDescent="0.2">
      <c r="C64644"/>
      <c r="M64644"/>
    </row>
    <row r="64645" spans="3:13" ht="12.75" customHeight="1" x14ac:dyDescent="0.2">
      <c r="C64645"/>
      <c r="M64645"/>
    </row>
    <row r="64646" spans="3:13" ht="12.75" customHeight="1" x14ac:dyDescent="0.2">
      <c r="C64646"/>
      <c r="M64646"/>
    </row>
    <row r="64647" spans="3:13" ht="12.75" customHeight="1" x14ac:dyDescent="0.2">
      <c r="C64647"/>
      <c r="M64647"/>
    </row>
    <row r="64648" spans="3:13" ht="12.75" customHeight="1" x14ac:dyDescent="0.2">
      <c r="C64648"/>
      <c r="M64648"/>
    </row>
    <row r="64649" spans="3:13" ht="12.75" customHeight="1" x14ac:dyDescent="0.2">
      <c r="C64649"/>
      <c r="M64649"/>
    </row>
    <row r="64650" spans="3:13" ht="12.75" customHeight="1" x14ac:dyDescent="0.2">
      <c r="C64650"/>
      <c r="M64650"/>
    </row>
    <row r="64651" spans="3:13" ht="12.75" customHeight="1" x14ac:dyDescent="0.2">
      <c r="C64651"/>
      <c r="M64651"/>
    </row>
    <row r="64652" spans="3:13" ht="12.75" customHeight="1" x14ac:dyDescent="0.2">
      <c r="C64652"/>
      <c r="M64652"/>
    </row>
    <row r="64653" spans="3:13" ht="12.75" customHeight="1" x14ac:dyDescent="0.2">
      <c r="C64653"/>
      <c r="M64653"/>
    </row>
    <row r="64654" spans="3:13" ht="12.75" customHeight="1" x14ac:dyDescent="0.2">
      <c r="C64654"/>
      <c r="M64654"/>
    </row>
    <row r="64655" spans="3:13" ht="12.75" customHeight="1" x14ac:dyDescent="0.2">
      <c r="C64655"/>
      <c r="M64655"/>
    </row>
    <row r="64656" spans="3:13" ht="12.75" customHeight="1" x14ac:dyDescent="0.2">
      <c r="C64656"/>
      <c r="M64656"/>
    </row>
    <row r="64657" spans="3:13" ht="12.75" customHeight="1" x14ac:dyDescent="0.2">
      <c r="C64657"/>
      <c r="M64657"/>
    </row>
    <row r="64658" spans="3:13" ht="12.75" customHeight="1" x14ac:dyDescent="0.2">
      <c r="C64658"/>
      <c r="M64658"/>
    </row>
    <row r="64659" spans="3:13" ht="12.75" customHeight="1" x14ac:dyDescent="0.2">
      <c r="C64659"/>
      <c r="M64659"/>
    </row>
    <row r="64660" spans="3:13" ht="12.75" customHeight="1" x14ac:dyDescent="0.2">
      <c r="C64660"/>
      <c r="M64660"/>
    </row>
    <row r="64661" spans="3:13" ht="12.75" customHeight="1" x14ac:dyDescent="0.2">
      <c r="C64661"/>
      <c r="M64661"/>
    </row>
    <row r="64662" spans="3:13" ht="12.75" customHeight="1" x14ac:dyDescent="0.2">
      <c r="C64662"/>
      <c r="M64662"/>
    </row>
    <row r="64663" spans="3:13" ht="12.75" customHeight="1" x14ac:dyDescent="0.2">
      <c r="C64663"/>
      <c r="M64663"/>
    </row>
    <row r="64664" spans="3:13" ht="12.75" customHeight="1" x14ac:dyDescent="0.2">
      <c r="C64664"/>
      <c r="M64664"/>
    </row>
    <row r="64665" spans="3:13" ht="12.75" customHeight="1" x14ac:dyDescent="0.2">
      <c r="C64665"/>
      <c r="M64665"/>
    </row>
    <row r="64666" spans="3:13" ht="12.75" customHeight="1" x14ac:dyDescent="0.2">
      <c r="C64666"/>
      <c r="M64666"/>
    </row>
    <row r="64667" spans="3:13" ht="12.75" customHeight="1" x14ac:dyDescent="0.2">
      <c r="C64667"/>
      <c r="M64667"/>
    </row>
    <row r="64668" spans="3:13" ht="12.75" customHeight="1" x14ac:dyDescent="0.2">
      <c r="C64668"/>
      <c r="M64668"/>
    </row>
    <row r="64669" spans="3:13" ht="12.75" customHeight="1" x14ac:dyDescent="0.2">
      <c r="C64669"/>
      <c r="M64669"/>
    </row>
    <row r="64670" spans="3:13" ht="12.75" customHeight="1" x14ac:dyDescent="0.2">
      <c r="C64670"/>
      <c r="M64670"/>
    </row>
    <row r="64671" spans="3:13" ht="12.75" customHeight="1" x14ac:dyDescent="0.2">
      <c r="C64671"/>
      <c r="M64671"/>
    </row>
    <row r="64672" spans="3:13" ht="12.75" customHeight="1" x14ac:dyDescent="0.2">
      <c r="C64672"/>
      <c r="M64672"/>
    </row>
    <row r="64673" spans="3:13" ht="12.75" customHeight="1" x14ac:dyDescent="0.2">
      <c r="C64673"/>
      <c r="M64673"/>
    </row>
    <row r="64674" spans="3:13" ht="12.75" customHeight="1" x14ac:dyDescent="0.2">
      <c r="C64674"/>
      <c r="M64674"/>
    </row>
    <row r="64675" spans="3:13" ht="12.75" customHeight="1" x14ac:dyDescent="0.2">
      <c r="C64675"/>
      <c r="M64675"/>
    </row>
    <row r="64676" spans="3:13" ht="12.75" customHeight="1" x14ac:dyDescent="0.2">
      <c r="C64676"/>
      <c r="M64676"/>
    </row>
    <row r="64677" spans="3:13" ht="12.75" customHeight="1" x14ac:dyDescent="0.2">
      <c r="C64677"/>
      <c r="M64677"/>
    </row>
    <row r="64678" spans="3:13" ht="12.75" customHeight="1" x14ac:dyDescent="0.2">
      <c r="C64678"/>
      <c r="M64678"/>
    </row>
    <row r="64679" spans="3:13" ht="12.75" customHeight="1" x14ac:dyDescent="0.2">
      <c r="C64679"/>
      <c r="M64679"/>
    </row>
    <row r="64680" spans="3:13" ht="12.75" customHeight="1" x14ac:dyDescent="0.2">
      <c r="C64680"/>
      <c r="M64680"/>
    </row>
    <row r="64681" spans="3:13" ht="12.75" customHeight="1" x14ac:dyDescent="0.2">
      <c r="C64681"/>
      <c r="M64681"/>
    </row>
    <row r="64682" spans="3:13" ht="12.75" customHeight="1" x14ac:dyDescent="0.2">
      <c r="C64682"/>
      <c r="M64682"/>
    </row>
    <row r="64683" spans="3:13" ht="12.75" customHeight="1" x14ac:dyDescent="0.2">
      <c r="C64683"/>
      <c r="M64683"/>
    </row>
    <row r="64684" spans="3:13" ht="12.75" customHeight="1" x14ac:dyDescent="0.2">
      <c r="C64684"/>
      <c r="M64684"/>
    </row>
    <row r="64685" spans="3:13" ht="12.75" customHeight="1" x14ac:dyDescent="0.2">
      <c r="C64685"/>
      <c r="M64685"/>
    </row>
    <row r="64686" spans="3:13" ht="12.75" customHeight="1" x14ac:dyDescent="0.2">
      <c r="C64686"/>
      <c r="M64686"/>
    </row>
    <row r="64687" spans="3:13" ht="12.75" customHeight="1" x14ac:dyDescent="0.2">
      <c r="C64687"/>
      <c r="M64687"/>
    </row>
    <row r="64688" spans="3:13" ht="12.75" customHeight="1" x14ac:dyDescent="0.2">
      <c r="C64688"/>
      <c r="M64688"/>
    </row>
    <row r="64689" spans="3:13" ht="12.75" customHeight="1" x14ac:dyDescent="0.2">
      <c r="C64689"/>
      <c r="M64689"/>
    </row>
    <row r="64690" spans="3:13" ht="12.75" customHeight="1" x14ac:dyDescent="0.2">
      <c r="C64690"/>
      <c r="M64690"/>
    </row>
    <row r="64691" spans="3:13" ht="12.75" customHeight="1" x14ac:dyDescent="0.2">
      <c r="C64691"/>
      <c r="M64691"/>
    </row>
    <row r="64692" spans="3:13" ht="12.75" customHeight="1" x14ac:dyDescent="0.2">
      <c r="C64692"/>
      <c r="M64692"/>
    </row>
    <row r="64693" spans="3:13" ht="12.75" customHeight="1" x14ac:dyDescent="0.2">
      <c r="C64693"/>
      <c r="M64693"/>
    </row>
    <row r="64694" spans="3:13" ht="12.75" customHeight="1" x14ac:dyDescent="0.2">
      <c r="C64694"/>
      <c r="M64694"/>
    </row>
    <row r="64695" spans="3:13" ht="12.75" customHeight="1" x14ac:dyDescent="0.2">
      <c r="C64695"/>
      <c r="M64695"/>
    </row>
    <row r="64696" spans="3:13" ht="12.75" customHeight="1" x14ac:dyDescent="0.2">
      <c r="C64696"/>
      <c r="M64696"/>
    </row>
    <row r="64697" spans="3:13" ht="12.75" customHeight="1" x14ac:dyDescent="0.2">
      <c r="C64697"/>
      <c r="M64697"/>
    </row>
    <row r="64698" spans="3:13" ht="12.75" customHeight="1" x14ac:dyDescent="0.2">
      <c r="C64698"/>
      <c r="M64698"/>
    </row>
    <row r="64699" spans="3:13" ht="12.75" customHeight="1" x14ac:dyDescent="0.2">
      <c r="C64699"/>
      <c r="M64699"/>
    </row>
    <row r="64700" spans="3:13" ht="12.75" customHeight="1" x14ac:dyDescent="0.2">
      <c r="C64700"/>
      <c r="M64700"/>
    </row>
    <row r="64701" spans="3:13" ht="12.75" customHeight="1" x14ac:dyDescent="0.2">
      <c r="C64701"/>
      <c r="M64701"/>
    </row>
    <row r="64702" spans="3:13" ht="12.75" customHeight="1" x14ac:dyDescent="0.2">
      <c r="C64702"/>
      <c r="M64702"/>
    </row>
    <row r="64703" spans="3:13" ht="12.75" customHeight="1" x14ac:dyDescent="0.2">
      <c r="C64703"/>
      <c r="M64703"/>
    </row>
    <row r="64704" spans="3:13" ht="12.75" customHeight="1" x14ac:dyDescent="0.2">
      <c r="C64704"/>
      <c r="M64704"/>
    </row>
    <row r="64705" spans="3:13" ht="12.75" customHeight="1" x14ac:dyDescent="0.2">
      <c r="C64705"/>
      <c r="M64705"/>
    </row>
    <row r="64706" spans="3:13" ht="12.75" customHeight="1" x14ac:dyDescent="0.2">
      <c r="C64706"/>
      <c r="M64706"/>
    </row>
    <row r="64707" spans="3:13" ht="12.75" customHeight="1" x14ac:dyDescent="0.2">
      <c r="C64707"/>
      <c r="M64707"/>
    </row>
    <row r="64708" spans="3:13" ht="12.75" customHeight="1" x14ac:dyDescent="0.2">
      <c r="C64708"/>
      <c r="M64708"/>
    </row>
    <row r="64709" spans="3:13" ht="12.75" customHeight="1" x14ac:dyDescent="0.2">
      <c r="C64709"/>
      <c r="M64709"/>
    </row>
    <row r="64710" spans="3:13" ht="12.75" customHeight="1" x14ac:dyDescent="0.2">
      <c r="C64710"/>
      <c r="M64710"/>
    </row>
    <row r="64711" spans="3:13" ht="12.75" customHeight="1" x14ac:dyDescent="0.2">
      <c r="C64711"/>
      <c r="M64711"/>
    </row>
    <row r="64712" spans="3:13" ht="12.75" customHeight="1" x14ac:dyDescent="0.2">
      <c r="C64712"/>
      <c r="M64712"/>
    </row>
    <row r="64713" spans="3:13" ht="12.75" customHeight="1" x14ac:dyDescent="0.2">
      <c r="C64713"/>
      <c r="M64713"/>
    </row>
    <row r="64714" spans="3:13" ht="12.75" customHeight="1" x14ac:dyDescent="0.2">
      <c r="C64714"/>
      <c r="M64714"/>
    </row>
    <row r="64715" spans="3:13" ht="12.75" customHeight="1" x14ac:dyDescent="0.2">
      <c r="C64715"/>
      <c r="M64715"/>
    </row>
    <row r="64716" spans="3:13" ht="12.75" customHeight="1" x14ac:dyDescent="0.2">
      <c r="C64716"/>
      <c r="M64716"/>
    </row>
    <row r="64717" spans="3:13" ht="12.75" customHeight="1" x14ac:dyDescent="0.2">
      <c r="C64717"/>
      <c r="M64717"/>
    </row>
    <row r="64718" spans="3:13" ht="12.75" customHeight="1" x14ac:dyDescent="0.2">
      <c r="C64718"/>
      <c r="M64718"/>
    </row>
    <row r="64719" spans="3:13" ht="12.75" customHeight="1" x14ac:dyDescent="0.2">
      <c r="C64719"/>
      <c r="M64719"/>
    </row>
    <row r="64720" spans="3:13" ht="12.75" customHeight="1" x14ac:dyDescent="0.2">
      <c r="C64720"/>
      <c r="M64720"/>
    </row>
    <row r="64721" spans="3:13" ht="12.75" customHeight="1" x14ac:dyDescent="0.2">
      <c r="C64721"/>
      <c r="M64721"/>
    </row>
    <row r="64722" spans="3:13" ht="12.75" customHeight="1" x14ac:dyDescent="0.2">
      <c r="C64722"/>
      <c r="M64722"/>
    </row>
    <row r="64723" spans="3:13" ht="12.75" customHeight="1" x14ac:dyDescent="0.2">
      <c r="C64723"/>
      <c r="M64723"/>
    </row>
    <row r="64724" spans="3:13" ht="12.75" customHeight="1" x14ac:dyDescent="0.2">
      <c r="C64724"/>
      <c r="M64724"/>
    </row>
    <row r="64725" spans="3:13" ht="12.75" customHeight="1" x14ac:dyDescent="0.2">
      <c r="C64725"/>
      <c r="M64725"/>
    </row>
    <row r="64726" spans="3:13" ht="12.75" customHeight="1" x14ac:dyDescent="0.2">
      <c r="C64726"/>
      <c r="M64726"/>
    </row>
    <row r="64727" spans="3:13" ht="12.75" customHeight="1" x14ac:dyDescent="0.2">
      <c r="C64727"/>
      <c r="M64727"/>
    </row>
    <row r="64728" spans="3:13" ht="12.75" customHeight="1" x14ac:dyDescent="0.2">
      <c r="C64728"/>
      <c r="M64728"/>
    </row>
    <row r="64729" spans="3:13" ht="12.75" customHeight="1" x14ac:dyDescent="0.2">
      <c r="C64729"/>
      <c r="M64729"/>
    </row>
    <row r="64730" spans="3:13" ht="12.75" customHeight="1" x14ac:dyDescent="0.2">
      <c r="C64730"/>
      <c r="M64730"/>
    </row>
    <row r="64731" spans="3:13" ht="12.75" customHeight="1" x14ac:dyDescent="0.2">
      <c r="C64731"/>
      <c r="M64731"/>
    </row>
    <row r="64732" spans="3:13" ht="12.75" customHeight="1" x14ac:dyDescent="0.2">
      <c r="C64732"/>
      <c r="M64732"/>
    </row>
    <row r="64733" spans="3:13" ht="12.75" customHeight="1" x14ac:dyDescent="0.2">
      <c r="C64733"/>
      <c r="M64733"/>
    </row>
    <row r="64734" spans="3:13" ht="12.75" customHeight="1" x14ac:dyDescent="0.2">
      <c r="C64734"/>
      <c r="M64734"/>
    </row>
    <row r="64735" spans="3:13" ht="12.75" customHeight="1" x14ac:dyDescent="0.2">
      <c r="C64735"/>
      <c r="M64735"/>
    </row>
    <row r="64736" spans="3:13" ht="12.75" customHeight="1" x14ac:dyDescent="0.2">
      <c r="C64736"/>
      <c r="M64736"/>
    </row>
    <row r="64737" spans="3:13" ht="12.75" customHeight="1" x14ac:dyDescent="0.2">
      <c r="C64737"/>
      <c r="M64737"/>
    </row>
    <row r="64738" spans="3:13" ht="12.75" customHeight="1" x14ac:dyDescent="0.2">
      <c r="C64738"/>
      <c r="M64738"/>
    </row>
    <row r="64739" spans="3:13" ht="12.75" customHeight="1" x14ac:dyDescent="0.2">
      <c r="C64739"/>
      <c r="M64739"/>
    </row>
    <row r="64740" spans="3:13" ht="12.75" customHeight="1" x14ac:dyDescent="0.2">
      <c r="C64740"/>
      <c r="M64740"/>
    </row>
    <row r="64741" spans="3:13" ht="12.75" customHeight="1" x14ac:dyDescent="0.2">
      <c r="C64741"/>
      <c r="M64741"/>
    </row>
    <row r="64742" spans="3:13" ht="12.75" customHeight="1" x14ac:dyDescent="0.2">
      <c r="C64742"/>
      <c r="M64742"/>
    </row>
    <row r="64743" spans="3:13" ht="12.75" customHeight="1" x14ac:dyDescent="0.2">
      <c r="C64743"/>
      <c r="M64743"/>
    </row>
    <row r="64744" spans="3:13" ht="12.75" customHeight="1" x14ac:dyDescent="0.2">
      <c r="C64744"/>
      <c r="M64744"/>
    </row>
    <row r="64745" spans="3:13" ht="12.75" customHeight="1" x14ac:dyDescent="0.2">
      <c r="C64745"/>
      <c r="M64745"/>
    </row>
    <row r="64746" spans="3:13" ht="12.75" customHeight="1" x14ac:dyDescent="0.2">
      <c r="C64746"/>
      <c r="M64746"/>
    </row>
    <row r="64747" spans="3:13" ht="12.75" customHeight="1" x14ac:dyDescent="0.2">
      <c r="C64747"/>
      <c r="M64747"/>
    </row>
    <row r="64748" spans="3:13" ht="12.75" customHeight="1" x14ac:dyDescent="0.2">
      <c r="C64748"/>
      <c r="M64748"/>
    </row>
    <row r="64749" spans="3:13" ht="12.75" customHeight="1" x14ac:dyDescent="0.2">
      <c r="C64749"/>
      <c r="M64749"/>
    </row>
    <row r="64750" spans="3:13" ht="12.75" customHeight="1" x14ac:dyDescent="0.2">
      <c r="C64750"/>
      <c r="M64750"/>
    </row>
    <row r="64751" spans="3:13" ht="12.75" customHeight="1" x14ac:dyDescent="0.2">
      <c r="C64751"/>
      <c r="M64751"/>
    </row>
    <row r="64752" spans="3:13" ht="12.75" customHeight="1" x14ac:dyDescent="0.2">
      <c r="C64752"/>
      <c r="M64752"/>
    </row>
    <row r="64753" spans="3:13" ht="12.75" customHeight="1" x14ac:dyDescent="0.2">
      <c r="C64753"/>
      <c r="M64753"/>
    </row>
    <row r="64754" spans="3:13" ht="12.75" customHeight="1" x14ac:dyDescent="0.2">
      <c r="C64754"/>
      <c r="M64754"/>
    </row>
    <row r="64755" spans="3:13" ht="12.75" customHeight="1" x14ac:dyDescent="0.2">
      <c r="C64755"/>
      <c r="M64755"/>
    </row>
    <row r="64756" spans="3:13" ht="12.75" customHeight="1" x14ac:dyDescent="0.2">
      <c r="C64756"/>
      <c r="M64756"/>
    </row>
    <row r="64757" spans="3:13" ht="12.75" customHeight="1" x14ac:dyDescent="0.2">
      <c r="C64757"/>
      <c r="M64757"/>
    </row>
    <row r="64758" spans="3:13" ht="12.75" customHeight="1" x14ac:dyDescent="0.2">
      <c r="C64758"/>
      <c r="M64758"/>
    </row>
    <row r="64759" spans="3:13" ht="12.75" customHeight="1" x14ac:dyDescent="0.2">
      <c r="C64759"/>
      <c r="M64759"/>
    </row>
    <row r="64760" spans="3:13" ht="12.75" customHeight="1" x14ac:dyDescent="0.2">
      <c r="C64760"/>
      <c r="M64760"/>
    </row>
    <row r="64761" spans="3:13" ht="12.75" customHeight="1" x14ac:dyDescent="0.2">
      <c r="C64761"/>
      <c r="M64761"/>
    </row>
    <row r="64762" spans="3:13" ht="12.75" customHeight="1" x14ac:dyDescent="0.2">
      <c r="C64762"/>
      <c r="M64762"/>
    </row>
    <row r="64763" spans="3:13" ht="12.75" customHeight="1" x14ac:dyDescent="0.2">
      <c r="C64763"/>
      <c r="M64763"/>
    </row>
    <row r="64764" spans="3:13" ht="12.75" customHeight="1" x14ac:dyDescent="0.2">
      <c r="C64764"/>
      <c r="M64764"/>
    </row>
    <row r="64765" spans="3:13" ht="12.75" customHeight="1" x14ac:dyDescent="0.2">
      <c r="C64765"/>
      <c r="M64765"/>
    </row>
    <row r="64766" spans="3:13" ht="12.75" customHeight="1" x14ac:dyDescent="0.2">
      <c r="C64766"/>
      <c r="M64766"/>
    </row>
    <row r="64767" spans="3:13" ht="12.75" customHeight="1" x14ac:dyDescent="0.2">
      <c r="C64767"/>
      <c r="M64767"/>
    </row>
    <row r="64768" spans="3:13" ht="12.75" customHeight="1" x14ac:dyDescent="0.2">
      <c r="C64768"/>
      <c r="M64768"/>
    </row>
    <row r="64769" spans="3:13" ht="12.75" customHeight="1" x14ac:dyDescent="0.2">
      <c r="C64769"/>
      <c r="M64769"/>
    </row>
    <row r="64770" spans="3:13" ht="12.75" customHeight="1" x14ac:dyDescent="0.2">
      <c r="C64770"/>
      <c r="M64770"/>
    </row>
    <row r="64771" spans="3:13" ht="12.75" customHeight="1" x14ac:dyDescent="0.2">
      <c r="C64771"/>
      <c r="M64771"/>
    </row>
    <row r="64772" spans="3:13" ht="12.75" customHeight="1" x14ac:dyDescent="0.2">
      <c r="C64772"/>
      <c r="M64772"/>
    </row>
    <row r="64773" spans="3:13" ht="12.75" customHeight="1" x14ac:dyDescent="0.2">
      <c r="C64773"/>
      <c r="M64773"/>
    </row>
    <row r="64774" spans="3:13" ht="12.75" customHeight="1" x14ac:dyDescent="0.2">
      <c r="C64774"/>
      <c r="M64774"/>
    </row>
    <row r="64775" spans="3:13" ht="12.75" customHeight="1" x14ac:dyDescent="0.2">
      <c r="C64775"/>
      <c r="M64775"/>
    </row>
    <row r="64776" spans="3:13" ht="12.75" customHeight="1" x14ac:dyDescent="0.2">
      <c r="C64776"/>
      <c r="M64776"/>
    </row>
    <row r="64777" spans="3:13" ht="12.75" customHeight="1" x14ac:dyDescent="0.2">
      <c r="C64777"/>
      <c r="M64777"/>
    </row>
    <row r="64778" spans="3:13" ht="12.75" customHeight="1" x14ac:dyDescent="0.2">
      <c r="C64778"/>
      <c r="M64778"/>
    </row>
    <row r="64779" spans="3:13" ht="12.75" customHeight="1" x14ac:dyDescent="0.2">
      <c r="C64779"/>
      <c r="M64779"/>
    </row>
    <row r="64780" spans="3:13" ht="12.75" customHeight="1" x14ac:dyDescent="0.2">
      <c r="C64780"/>
      <c r="M64780"/>
    </row>
    <row r="64781" spans="3:13" ht="12.75" customHeight="1" x14ac:dyDescent="0.2">
      <c r="C64781"/>
      <c r="M64781"/>
    </row>
    <row r="64782" spans="3:13" ht="12.75" customHeight="1" x14ac:dyDescent="0.2">
      <c r="C64782"/>
      <c r="M64782"/>
    </row>
    <row r="64783" spans="3:13" ht="12.75" customHeight="1" x14ac:dyDescent="0.2">
      <c r="C64783"/>
      <c r="M64783"/>
    </row>
    <row r="64784" spans="3:13" ht="12.75" customHeight="1" x14ac:dyDescent="0.2">
      <c r="C64784"/>
      <c r="M64784"/>
    </row>
    <row r="64785" spans="3:13" ht="12.75" customHeight="1" x14ac:dyDescent="0.2">
      <c r="C64785"/>
      <c r="M64785"/>
    </row>
    <row r="64786" spans="3:13" ht="12.75" customHeight="1" x14ac:dyDescent="0.2">
      <c r="C64786"/>
      <c r="M64786"/>
    </row>
    <row r="64787" spans="3:13" ht="12.75" customHeight="1" x14ac:dyDescent="0.2">
      <c r="C64787"/>
      <c r="M64787"/>
    </row>
    <row r="64788" spans="3:13" ht="12.75" customHeight="1" x14ac:dyDescent="0.2">
      <c r="C64788"/>
      <c r="M64788"/>
    </row>
    <row r="64789" spans="3:13" ht="12.75" customHeight="1" x14ac:dyDescent="0.2">
      <c r="C64789"/>
      <c r="M64789"/>
    </row>
    <row r="64790" spans="3:13" ht="12.75" customHeight="1" x14ac:dyDescent="0.2">
      <c r="C64790"/>
      <c r="M64790"/>
    </row>
    <row r="64791" spans="3:13" ht="12.75" customHeight="1" x14ac:dyDescent="0.2">
      <c r="C64791"/>
      <c r="M64791"/>
    </row>
    <row r="64792" spans="3:13" ht="12.75" customHeight="1" x14ac:dyDescent="0.2">
      <c r="C64792"/>
      <c r="M64792"/>
    </row>
    <row r="64793" spans="3:13" ht="12.75" customHeight="1" x14ac:dyDescent="0.2">
      <c r="C64793"/>
      <c r="M64793"/>
    </row>
    <row r="64794" spans="3:13" ht="12.75" customHeight="1" x14ac:dyDescent="0.2">
      <c r="C64794"/>
      <c r="M64794"/>
    </row>
    <row r="64795" spans="3:13" ht="12.75" customHeight="1" x14ac:dyDescent="0.2">
      <c r="C64795"/>
      <c r="M64795"/>
    </row>
    <row r="64796" spans="3:13" ht="12.75" customHeight="1" x14ac:dyDescent="0.2">
      <c r="C64796"/>
      <c r="M64796"/>
    </row>
    <row r="64797" spans="3:13" ht="12.75" customHeight="1" x14ac:dyDescent="0.2">
      <c r="C64797"/>
      <c r="M64797"/>
    </row>
    <row r="64798" spans="3:13" ht="12.75" customHeight="1" x14ac:dyDescent="0.2">
      <c r="C64798"/>
      <c r="M64798"/>
    </row>
    <row r="64799" spans="3:13" ht="12.75" customHeight="1" x14ac:dyDescent="0.2">
      <c r="C64799"/>
      <c r="M64799"/>
    </row>
    <row r="64800" spans="3:13" ht="12.75" customHeight="1" x14ac:dyDescent="0.2">
      <c r="C64800"/>
      <c r="M64800"/>
    </row>
    <row r="64801" spans="3:13" ht="12.75" customHeight="1" x14ac:dyDescent="0.2">
      <c r="C64801"/>
      <c r="M64801"/>
    </row>
    <row r="64802" spans="3:13" ht="12.75" customHeight="1" x14ac:dyDescent="0.2">
      <c r="C64802"/>
      <c r="M64802"/>
    </row>
    <row r="64803" spans="3:13" ht="12.75" customHeight="1" x14ac:dyDescent="0.2">
      <c r="C64803"/>
      <c r="M64803"/>
    </row>
    <row r="64804" spans="3:13" ht="12.75" customHeight="1" x14ac:dyDescent="0.2">
      <c r="C64804"/>
      <c r="M64804"/>
    </row>
    <row r="64805" spans="3:13" ht="12.75" customHeight="1" x14ac:dyDescent="0.2">
      <c r="C64805"/>
      <c r="M64805"/>
    </row>
    <row r="64806" spans="3:13" ht="12.75" customHeight="1" x14ac:dyDescent="0.2">
      <c r="C64806"/>
      <c r="M64806"/>
    </row>
    <row r="64807" spans="3:13" ht="12.75" customHeight="1" x14ac:dyDescent="0.2">
      <c r="C64807"/>
      <c r="M64807"/>
    </row>
    <row r="64808" spans="3:13" ht="12.75" customHeight="1" x14ac:dyDescent="0.2">
      <c r="C64808"/>
      <c r="M64808"/>
    </row>
    <row r="64809" spans="3:13" ht="12.75" customHeight="1" x14ac:dyDescent="0.2">
      <c r="C64809"/>
      <c r="M64809"/>
    </row>
    <row r="64810" spans="3:13" ht="12.75" customHeight="1" x14ac:dyDescent="0.2">
      <c r="C64810"/>
      <c r="M64810"/>
    </row>
    <row r="64811" spans="3:13" ht="12.75" customHeight="1" x14ac:dyDescent="0.2">
      <c r="C64811"/>
      <c r="M64811"/>
    </row>
    <row r="64812" spans="3:13" ht="12.75" customHeight="1" x14ac:dyDescent="0.2">
      <c r="C64812"/>
      <c r="M64812"/>
    </row>
    <row r="64813" spans="3:13" ht="12.75" customHeight="1" x14ac:dyDescent="0.2">
      <c r="C64813"/>
      <c r="M64813"/>
    </row>
    <row r="64814" spans="3:13" ht="12.75" customHeight="1" x14ac:dyDescent="0.2">
      <c r="C64814"/>
      <c r="M64814"/>
    </row>
    <row r="64815" spans="3:13" ht="12.75" customHeight="1" x14ac:dyDescent="0.2">
      <c r="C64815"/>
      <c r="M64815"/>
    </row>
    <row r="64816" spans="3:13" ht="12.75" customHeight="1" x14ac:dyDescent="0.2">
      <c r="C64816"/>
      <c r="M64816"/>
    </row>
    <row r="64817" spans="3:13" ht="12.75" customHeight="1" x14ac:dyDescent="0.2">
      <c r="C64817"/>
      <c r="M64817"/>
    </row>
    <row r="64818" spans="3:13" ht="12.75" customHeight="1" x14ac:dyDescent="0.2">
      <c r="C64818"/>
      <c r="M64818"/>
    </row>
    <row r="64819" spans="3:13" ht="12.75" customHeight="1" x14ac:dyDescent="0.2">
      <c r="C64819"/>
      <c r="M64819"/>
    </row>
    <row r="64820" spans="3:13" ht="12.75" customHeight="1" x14ac:dyDescent="0.2">
      <c r="C64820"/>
      <c r="M64820"/>
    </row>
    <row r="64821" spans="3:13" ht="12.75" customHeight="1" x14ac:dyDescent="0.2">
      <c r="C64821"/>
      <c r="M64821"/>
    </row>
    <row r="64822" spans="3:13" ht="12.75" customHeight="1" x14ac:dyDescent="0.2">
      <c r="C64822"/>
      <c r="M64822"/>
    </row>
    <row r="64823" spans="3:13" ht="12.75" customHeight="1" x14ac:dyDescent="0.2">
      <c r="C64823"/>
      <c r="M64823"/>
    </row>
    <row r="64824" spans="3:13" ht="12.75" customHeight="1" x14ac:dyDescent="0.2">
      <c r="C64824"/>
      <c r="M64824"/>
    </row>
    <row r="64825" spans="3:13" ht="12.75" customHeight="1" x14ac:dyDescent="0.2">
      <c r="C64825"/>
      <c r="M64825"/>
    </row>
    <row r="64826" spans="3:13" ht="12.75" customHeight="1" x14ac:dyDescent="0.2">
      <c r="C64826"/>
      <c r="M64826"/>
    </row>
    <row r="64827" spans="3:13" ht="12.75" customHeight="1" x14ac:dyDescent="0.2">
      <c r="C64827"/>
      <c r="M64827"/>
    </row>
    <row r="64828" spans="3:13" ht="12.75" customHeight="1" x14ac:dyDescent="0.2">
      <c r="C64828"/>
      <c r="M64828"/>
    </row>
    <row r="64829" spans="3:13" ht="12.75" customHeight="1" x14ac:dyDescent="0.2">
      <c r="C64829"/>
      <c r="M64829"/>
    </row>
    <row r="64830" spans="3:13" ht="12.75" customHeight="1" x14ac:dyDescent="0.2">
      <c r="C64830"/>
      <c r="M64830"/>
    </row>
    <row r="64831" spans="3:13" ht="12.75" customHeight="1" x14ac:dyDescent="0.2">
      <c r="C64831"/>
      <c r="M64831"/>
    </row>
    <row r="64832" spans="3:13" ht="12.75" customHeight="1" x14ac:dyDescent="0.2">
      <c r="C64832"/>
      <c r="M64832"/>
    </row>
    <row r="64833" spans="3:13" ht="12.75" customHeight="1" x14ac:dyDescent="0.2">
      <c r="C64833"/>
      <c r="M64833"/>
    </row>
    <row r="64834" spans="3:13" ht="12.75" customHeight="1" x14ac:dyDescent="0.2">
      <c r="C64834"/>
      <c r="M64834"/>
    </row>
    <row r="64835" spans="3:13" ht="12.75" customHeight="1" x14ac:dyDescent="0.2">
      <c r="C64835"/>
      <c r="M64835"/>
    </row>
    <row r="64836" spans="3:13" ht="12.75" customHeight="1" x14ac:dyDescent="0.2">
      <c r="C64836"/>
      <c r="M64836"/>
    </row>
    <row r="64837" spans="3:13" ht="12.75" customHeight="1" x14ac:dyDescent="0.2">
      <c r="C64837"/>
      <c r="M64837"/>
    </row>
    <row r="64838" spans="3:13" ht="12.75" customHeight="1" x14ac:dyDescent="0.2">
      <c r="C64838"/>
      <c r="M64838"/>
    </row>
    <row r="64839" spans="3:13" ht="12.75" customHeight="1" x14ac:dyDescent="0.2">
      <c r="C64839"/>
      <c r="M64839"/>
    </row>
    <row r="64840" spans="3:13" ht="12.75" customHeight="1" x14ac:dyDescent="0.2">
      <c r="C64840"/>
      <c r="M64840"/>
    </row>
    <row r="64841" spans="3:13" ht="12.75" customHeight="1" x14ac:dyDescent="0.2">
      <c r="C64841"/>
      <c r="M64841"/>
    </row>
    <row r="64842" spans="3:13" ht="12.75" customHeight="1" x14ac:dyDescent="0.2">
      <c r="C64842"/>
      <c r="M64842"/>
    </row>
    <row r="64843" spans="3:13" ht="12.75" customHeight="1" x14ac:dyDescent="0.2">
      <c r="C64843"/>
      <c r="M64843"/>
    </row>
    <row r="64844" spans="3:13" ht="12.75" customHeight="1" x14ac:dyDescent="0.2">
      <c r="C64844"/>
      <c r="M64844"/>
    </row>
    <row r="64845" spans="3:13" ht="12.75" customHeight="1" x14ac:dyDescent="0.2">
      <c r="C64845"/>
      <c r="M64845"/>
    </row>
    <row r="64846" spans="3:13" ht="12.75" customHeight="1" x14ac:dyDescent="0.2">
      <c r="C64846"/>
      <c r="M64846"/>
    </row>
    <row r="64847" spans="3:13" ht="12.75" customHeight="1" x14ac:dyDescent="0.2">
      <c r="C64847"/>
      <c r="M64847"/>
    </row>
    <row r="64848" spans="3:13" ht="12.75" customHeight="1" x14ac:dyDescent="0.2">
      <c r="C64848"/>
      <c r="M64848"/>
    </row>
    <row r="64849" spans="3:13" ht="12.75" customHeight="1" x14ac:dyDescent="0.2">
      <c r="C64849"/>
      <c r="M64849"/>
    </row>
    <row r="64850" spans="3:13" ht="12.75" customHeight="1" x14ac:dyDescent="0.2">
      <c r="C64850"/>
      <c r="M64850"/>
    </row>
    <row r="64851" spans="3:13" ht="12.75" customHeight="1" x14ac:dyDescent="0.2">
      <c r="C64851"/>
      <c r="M64851"/>
    </row>
    <row r="64852" spans="3:13" ht="12.75" customHeight="1" x14ac:dyDescent="0.2">
      <c r="C64852"/>
      <c r="M64852"/>
    </row>
    <row r="64853" spans="3:13" ht="12.75" customHeight="1" x14ac:dyDescent="0.2">
      <c r="C64853"/>
      <c r="M64853"/>
    </row>
    <row r="64854" spans="3:13" ht="12.75" customHeight="1" x14ac:dyDescent="0.2">
      <c r="C64854"/>
      <c r="M64854"/>
    </row>
    <row r="64855" spans="3:13" ht="12.75" customHeight="1" x14ac:dyDescent="0.2">
      <c r="C64855"/>
      <c r="M64855"/>
    </row>
    <row r="64856" spans="3:13" ht="12.75" customHeight="1" x14ac:dyDescent="0.2">
      <c r="C64856"/>
      <c r="M64856"/>
    </row>
    <row r="64857" spans="3:13" ht="12.75" customHeight="1" x14ac:dyDescent="0.2">
      <c r="C64857"/>
      <c r="M64857"/>
    </row>
    <row r="64858" spans="3:13" ht="12.75" customHeight="1" x14ac:dyDescent="0.2">
      <c r="C64858"/>
      <c r="M64858"/>
    </row>
    <row r="64859" spans="3:13" ht="12.75" customHeight="1" x14ac:dyDescent="0.2">
      <c r="C64859"/>
      <c r="M64859"/>
    </row>
    <row r="64860" spans="3:13" ht="12.75" customHeight="1" x14ac:dyDescent="0.2">
      <c r="C64860"/>
      <c r="M64860"/>
    </row>
    <row r="64861" spans="3:13" ht="12.75" customHeight="1" x14ac:dyDescent="0.2">
      <c r="C64861"/>
      <c r="M64861"/>
    </row>
    <row r="64862" spans="3:13" ht="12.75" customHeight="1" x14ac:dyDescent="0.2">
      <c r="C64862"/>
      <c r="M64862"/>
    </row>
    <row r="64863" spans="3:13" ht="12.75" customHeight="1" x14ac:dyDescent="0.2">
      <c r="C64863"/>
      <c r="M64863"/>
    </row>
    <row r="64864" spans="3:13" ht="12.75" customHeight="1" x14ac:dyDescent="0.2">
      <c r="C64864"/>
      <c r="M64864"/>
    </row>
    <row r="64865" spans="3:13" ht="12.75" customHeight="1" x14ac:dyDescent="0.2">
      <c r="C64865"/>
      <c r="M64865"/>
    </row>
    <row r="64866" spans="3:13" ht="12.75" customHeight="1" x14ac:dyDescent="0.2">
      <c r="C64866"/>
      <c r="M64866"/>
    </row>
    <row r="64867" spans="3:13" ht="12.75" customHeight="1" x14ac:dyDescent="0.2">
      <c r="C64867"/>
      <c r="M64867"/>
    </row>
    <row r="64868" spans="3:13" ht="12.75" customHeight="1" x14ac:dyDescent="0.2">
      <c r="C64868"/>
      <c r="M64868"/>
    </row>
    <row r="64869" spans="3:13" ht="12.75" customHeight="1" x14ac:dyDescent="0.2">
      <c r="C64869"/>
      <c r="M64869"/>
    </row>
    <row r="64870" spans="3:13" ht="12.75" customHeight="1" x14ac:dyDescent="0.2">
      <c r="C64870"/>
      <c r="M64870"/>
    </row>
    <row r="64871" spans="3:13" ht="12.75" customHeight="1" x14ac:dyDescent="0.2">
      <c r="C64871"/>
      <c r="M64871"/>
    </row>
    <row r="64872" spans="3:13" ht="12.75" customHeight="1" x14ac:dyDescent="0.2">
      <c r="C64872"/>
      <c r="M64872"/>
    </row>
    <row r="64873" spans="3:13" ht="12.75" customHeight="1" x14ac:dyDescent="0.2">
      <c r="C64873"/>
      <c r="M64873"/>
    </row>
    <row r="64874" spans="3:13" ht="12.75" customHeight="1" x14ac:dyDescent="0.2">
      <c r="C64874"/>
      <c r="M64874"/>
    </row>
    <row r="64875" spans="3:13" ht="12.75" customHeight="1" x14ac:dyDescent="0.2">
      <c r="C64875"/>
      <c r="M64875"/>
    </row>
    <row r="64876" spans="3:13" ht="12.75" customHeight="1" x14ac:dyDescent="0.2">
      <c r="C64876"/>
      <c r="M64876"/>
    </row>
    <row r="64877" spans="3:13" ht="12.75" customHeight="1" x14ac:dyDescent="0.2">
      <c r="C64877"/>
      <c r="M64877"/>
    </row>
    <row r="64878" spans="3:13" ht="12.75" customHeight="1" x14ac:dyDescent="0.2">
      <c r="C64878"/>
      <c r="M64878"/>
    </row>
    <row r="64879" spans="3:13" ht="12.75" customHeight="1" x14ac:dyDescent="0.2">
      <c r="C64879"/>
      <c r="M64879"/>
    </row>
    <row r="64880" spans="3:13" ht="12.75" customHeight="1" x14ac:dyDescent="0.2">
      <c r="C64880"/>
      <c r="M64880"/>
    </row>
    <row r="64881" spans="3:13" ht="12.75" customHeight="1" x14ac:dyDescent="0.2">
      <c r="C64881"/>
      <c r="M64881"/>
    </row>
    <row r="64882" spans="3:13" ht="12.75" customHeight="1" x14ac:dyDescent="0.2">
      <c r="C64882"/>
      <c r="M64882"/>
    </row>
    <row r="64883" spans="3:13" ht="12.75" customHeight="1" x14ac:dyDescent="0.2">
      <c r="C64883"/>
      <c r="M64883"/>
    </row>
    <row r="64884" spans="3:13" ht="12.75" customHeight="1" x14ac:dyDescent="0.2">
      <c r="C64884"/>
      <c r="M64884"/>
    </row>
    <row r="64885" spans="3:13" ht="12.75" customHeight="1" x14ac:dyDescent="0.2">
      <c r="C64885"/>
      <c r="M64885"/>
    </row>
    <row r="64886" spans="3:13" ht="12.75" customHeight="1" x14ac:dyDescent="0.2">
      <c r="C64886"/>
      <c r="M64886"/>
    </row>
    <row r="64887" spans="3:13" ht="12.75" customHeight="1" x14ac:dyDescent="0.2">
      <c r="C64887"/>
      <c r="M64887"/>
    </row>
    <row r="64888" spans="3:13" ht="12.75" customHeight="1" x14ac:dyDescent="0.2">
      <c r="C64888"/>
      <c r="M64888"/>
    </row>
    <row r="64889" spans="3:13" ht="12.75" customHeight="1" x14ac:dyDescent="0.2">
      <c r="C64889"/>
      <c r="M64889"/>
    </row>
    <row r="64890" spans="3:13" ht="12.75" customHeight="1" x14ac:dyDescent="0.2">
      <c r="C64890"/>
      <c r="M64890"/>
    </row>
    <row r="64891" spans="3:13" ht="12.75" customHeight="1" x14ac:dyDescent="0.2">
      <c r="C64891"/>
      <c r="M64891"/>
    </row>
    <row r="64892" spans="3:13" ht="12.75" customHeight="1" x14ac:dyDescent="0.2">
      <c r="C64892"/>
      <c r="M64892"/>
    </row>
    <row r="64893" spans="3:13" ht="12.75" customHeight="1" x14ac:dyDescent="0.2">
      <c r="C64893"/>
      <c r="M64893"/>
    </row>
    <row r="64894" spans="3:13" ht="12.75" customHeight="1" x14ac:dyDescent="0.2">
      <c r="C64894"/>
      <c r="M64894"/>
    </row>
    <row r="64895" spans="3:13" ht="12.75" customHeight="1" x14ac:dyDescent="0.2">
      <c r="C64895"/>
      <c r="M64895"/>
    </row>
    <row r="64896" spans="3:13" ht="12.75" customHeight="1" x14ac:dyDescent="0.2">
      <c r="C64896"/>
      <c r="M64896"/>
    </row>
    <row r="64897" spans="3:13" ht="12.75" customHeight="1" x14ac:dyDescent="0.2">
      <c r="C64897"/>
      <c r="M64897"/>
    </row>
    <row r="64898" spans="3:13" ht="12.75" customHeight="1" x14ac:dyDescent="0.2">
      <c r="C64898"/>
      <c r="M64898"/>
    </row>
    <row r="64899" spans="3:13" ht="12.75" customHeight="1" x14ac:dyDescent="0.2">
      <c r="C64899"/>
      <c r="M64899"/>
    </row>
    <row r="64900" spans="3:13" ht="12.75" customHeight="1" x14ac:dyDescent="0.2">
      <c r="C64900"/>
      <c r="M64900"/>
    </row>
    <row r="64901" spans="3:13" ht="12.75" customHeight="1" x14ac:dyDescent="0.2">
      <c r="C64901"/>
      <c r="M64901"/>
    </row>
    <row r="64902" spans="3:13" ht="12.75" customHeight="1" x14ac:dyDescent="0.2">
      <c r="C64902"/>
      <c r="M64902"/>
    </row>
    <row r="64903" spans="3:13" ht="12.75" customHeight="1" x14ac:dyDescent="0.2">
      <c r="C64903"/>
      <c r="M64903"/>
    </row>
    <row r="64904" spans="3:13" ht="12.75" customHeight="1" x14ac:dyDescent="0.2">
      <c r="C64904"/>
      <c r="M64904"/>
    </row>
    <row r="64905" spans="3:13" ht="12.75" customHeight="1" x14ac:dyDescent="0.2">
      <c r="C64905"/>
      <c r="M64905"/>
    </row>
    <row r="64906" spans="3:13" ht="12.75" customHeight="1" x14ac:dyDescent="0.2">
      <c r="C64906"/>
      <c r="M64906"/>
    </row>
    <row r="64907" spans="3:13" ht="12.75" customHeight="1" x14ac:dyDescent="0.2">
      <c r="C64907"/>
      <c r="M64907"/>
    </row>
    <row r="64908" spans="3:13" ht="12.75" customHeight="1" x14ac:dyDescent="0.2">
      <c r="C64908"/>
      <c r="M64908"/>
    </row>
    <row r="64909" spans="3:13" ht="12.75" customHeight="1" x14ac:dyDescent="0.2">
      <c r="C64909"/>
      <c r="M64909"/>
    </row>
    <row r="64910" spans="3:13" ht="12.75" customHeight="1" x14ac:dyDescent="0.2">
      <c r="C64910"/>
      <c r="M64910"/>
    </row>
    <row r="64911" spans="3:13" ht="12.75" customHeight="1" x14ac:dyDescent="0.2">
      <c r="C64911"/>
      <c r="M64911"/>
    </row>
    <row r="64912" spans="3:13" ht="12.75" customHeight="1" x14ac:dyDescent="0.2">
      <c r="C64912"/>
      <c r="M64912"/>
    </row>
    <row r="64913" spans="3:13" ht="12.75" customHeight="1" x14ac:dyDescent="0.2">
      <c r="C64913"/>
      <c r="M64913"/>
    </row>
    <row r="64914" spans="3:13" ht="12.75" customHeight="1" x14ac:dyDescent="0.2">
      <c r="C64914"/>
      <c r="M64914"/>
    </row>
    <row r="64915" spans="3:13" ht="12.75" customHeight="1" x14ac:dyDescent="0.2">
      <c r="C64915"/>
      <c r="M64915"/>
    </row>
    <row r="64916" spans="3:13" ht="12.75" customHeight="1" x14ac:dyDescent="0.2">
      <c r="C64916"/>
      <c r="M64916"/>
    </row>
    <row r="64917" spans="3:13" ht="12.75" customHeight="1" x14ac:dyDescent="0.2">
      <c r="C64917"/>
      <c r="M64917"/>
    </row>
    <row r="64918" spans="3:13" ht="12.75" customHeight="1" x14ac:dyDescent="0.2">
      <c r="C64918"/>
      <c r="M64918"/>
    </row>
    <row r="64919" spans="3:13" ht="12.75" customHeight="1" x14ac:dyDescent="0.2">
      <c r="C64919"/>
      <c r="M64919"/>
    </row>
    <row r="64920" spans="3:13" ht="12.75" customHeight="1" x14ac:dyDescent="0.2">
      <c r="C64920"/>
      <c r="M64920"/>
    </row>
    <row r="64921" spans="3:13" ht="12.75" customHeight="1" x14ac:dyDescent="0.2">
      <c r="C64921"/>
      <c r="M64921"/>
    </row>
    <row r="64922" spans="3:13" ht="12.75" customHeight="1" x14ac:dyDescent="0.2">
      <c r="C64922"/>
      <c r="M64922"/>
    </row>
    <row r="64923" spans="3:13" ht="12.75" customHeight="1" x14ac:dyDescent="0.2">
      <c r="C64923"/>
      <c r="M64923"/>
    </row>
    <row r="64924" spans="3:13" ht="12.75" customHeight="1" x14ac:dyDescent="0.2">
      <c r="C64924"/>
      <c r="M64924"/>
    </row>
    <row r="64925" spans="3:13" ht="12.75" customHeight="1" x14ac:dyDescent="0.2">
      <c r="C64925"/>
      <c r="M64925"/>
    </row>
    <row r="64926" spans="3:13" ht="12.75" customHeight="1" x14ac:dyDescent="0.2">
      <c r="C64926"/>
      <c r="M64926"/>
    </row>
    <row r="64927" spans="3:13" ht="12.75" customHeight="1" x14ac:dyDescent="0.2">
      <c r="C64927"/>
      <c r="M64927"/>
    </row>
    <row r="64928" spans="3:13" ht="12.75" customHeight="1" x14ac:dyDescent="0.2">
      <c r="C64928"/>
      <c r="M64928"/>
    </row>
    <row r="64929" spans="3:13" ht="12.75" customHeight="1" x14ac:dyDescent="0.2">
      <c r="C64929"/>
      <c r="M64929"/>
    </row>
    <row r="64930" spans="3:13" ht="12.75" customHeight="1" x14ac:dyDescent="0.2">
      <c r="C64930"/>
      <c r="M64930"/>
    </row>
    <row r="64931" spans="3:13" ht="12.75" customHeight="1" x14ac:dyDescent="0.2">
      <c r="C64931"/>
      <c r="M64931"/>
    </row>
    <row r="64932" spans="3:13" ht="12.75" customHeight="1" x14ac:dyDescent="0.2">
      <c r="C64932"/>
      <c r="M64932"/>
    </row>
    <row r="64933" spans="3:13" ht="12.75" customHeight="1" x14ac:dyDescent="0.2">
      <c r="C64933"/>
      <c r="M64933"/>
    </row>
    <row r="64934" spans="3:13" ht="12.75" customHeight="1" x14ac:dyDescent="0.2">
      <c r="C64934"/>
      <c r="M64934"/>
    </row>
    <row r="64935" spans="3:13" ht="12.75" customHeight="1" x14ac:dyDescent="0.2">
      <c r="C64935"/>
      <c r="M64935"/>
    </row>
    <row r="64936" spans="3:13" ht="12.75" customHeight="1" x14ac:dyDescent="0.2">
      <c r="C64936"/>
      <c r="M64936"/>
    </row>
    <row r="64937" spans="3:13" ht="12.75" customHeight="1" x14ac:dyDescent="0.2">
      <c r="C64937"/>
      <c r="M64937"/>
    </row>
    <row r="64938" spans="3:13" ht="12.75" customHeight="1" x14ac:dyDescent="0.2">
      <c r="C64938"/>
      <c r="M64938"/>
    </row>
    <row r="64939" spans="3:13" ht="12.75" customHeight="1" x14ac:dyDescent="0.2">
      <c r="C64939"/>
      <c r="M64939"/>
    </row>
    <row r="64940" spans="3:13" ht="12.75" customHeight="1" x14ac:dyDescent="0.2">
      <c r="C64940"/>
      <c r="M64940"/>
    </row>
    <row r="64941" spans="3:13" ht="12.75" customHeight="1" x14ac:dyDescent="0.2">
      <c r="C64941"/>
      <c r="M64941"/>
    </row>
    <row r="64942" spans="3:13" ht="12.75" customHeight="1" x14ac:dyDescent="0.2">
      <c r="C64942"/>
      <c r="M64942"/>
    </row>
    <row r="64943" spans="3:13" ht="12.75" customHeight="1" x14ac:dyDescent="0.2">
      <c r="C64943"/>
      <c r="M64943"/>
    </row>
    <row r="64944" spans="3:13" ht="12.75" customHeight="1" x14ac:dyDescent="0.2">
      <c r="C64944"/>
      <c r="M64944"/>
    </row>
    <row r="64945" spans="3:13" ht="12.75" customHeight="1" x14ac:dyDescent="0.2">
      <c r="C64945"/>
      <c r="M64945"/>
    </row>
    <row r="64946" spans="3:13" ht="12.75" customHeight="1" x14ac:dyDescent="0.2">
      <c r="C64946"/>
      <c r="M64946"/>
    </row>
    <row r="64947" spans="3:13" ht="12.75" customHeight="1" x14ac:dyDescent="0.2">
      <c r="C64947"/>
      <c r="M64947"/>
    </row>
    <row r="64948" spans="3:13" ht="12.75" customHeight="1" x14ac:dyDescent="0.2">
      <c r="C64948"/>
      <c r="M64948"/>
    </row>
    <row r="64949" spans="3:13" ht="12.75" customHeight="1" x14ac:dyDescent="0.2">
      <c r="C64949"/>
      <c r="M64949"/>
    </row>
    <row r="64950" spans="3:13" ht="12.75" customHeight="1" x14ac:dyDescent="0.2">
      <c r="C64950"/>
      <c r="M64950"/>
    </row>
    <row r="64951" spans="3:13" ht="12.75" customHeight="1" x14ac:dyDescent="0.2">
      <c r="C64951"/>
      <c r="M64951"/>
    </row>
    <row r="64952" spans="3:13" ht="12.75" customHeight="1" x14ac:dyDescent="0.2">
      <c r="C64952"/>
      <c r="M64952"/>
    </row>
    <row r="64953" spans="3:13" ht="12.75" customHeight="1" x14ac:dyDescent="0.2">
      <c r="C64953"/>
      <c r="M64953"/>
    </row>
    <row r="64954" spans="3:13" ht="12.75" customHeight="1" x14ac:dyDescent="0.2">
      <c r="C64954"/>
      <c r="M64954"/>
    </row>
    <row r="64955" spans="3:13" ht="12.75" customHeight="1" x14ac:dyDescent="0.2">
      <c r="C64955"/>
      <c r="M64955"/>
    </row>
    <row r="64956" spans="3:13" ht="12.75" customHeight="1" x14ac:dyDescent="0.2">
      <c r="C64956"/>
      <c r="M64956"/>
    </row>
    <row r="64957" spans="3:13" ht="12.75" customHeight="1" x14ac:dyDescent="0.2">
      <c r="C64957"/>
      <c r="M64957"/>
    </row>
    <row r="64958" spans="3:13" ht="12.75" customHeight="1" x14ac:dyDescent="0.2">
      <c r="C64958"/>
      <c r="M64958"/>
    </row>
    <row r="64959" spans="3:13" ht="12.75" customHeight="1" x14ac:dyDescent="0.2">
      <c r="C64959"/>
      <c r="M64959"/>
    </row>
    <row r="64960" spans="3:13" ht="12.75" customHeight="1" x14ac:dyDescent="0.2">
      <c r="C64960"/>
      <c r="M64960"/>
    </row>
    <row r="64961" spans="3:13" ht="12.75" customHeight="1" x14ac:dyDescent="0.2">
      <c r="C64961"/>
      <c r="M64961"/>
    </row>
    <row r="64962" spans="3:13" ht="12.75" customHeight="1" x14ac:dyDescent="0.2">
      <c r="C64962"/>
      <c r="M64962"/>
    </row>
    <row r="64963" spans="3:13" ht="12.75" customHeight="1" x14ac:dyDescent="0.2">
      <c r="C64963"/>
      <c r="M64963"/>
    </row>
    <row r="64964" spans="3:13" ht="12.75" customHeight="1" x14ac:dyDescent="0.2">
      <c r="C64964"/>
      <c r="M64964"/>
    </row>
    <row r="64965" spans="3:13" ht="12.75" customHeight="1" x14ac:dyDescent="0.2">
      <c r="C64965"/>
      <c r="M64965"/>
    </row>
    <row r="64966" spans="3:13" ht="12.75" customHeight="1" x14ac:dyDescent="0.2">
      <c r="C64966"/>
      <c r="M64966"/>
    </row>
    <row r="64967" spans="3:13" ht="12.75" customHeight="1" x14ac:dyDescent="0.2">
      <c r="C64967"/>
      <c r="M64967"/>
    </row>
    <row r="64968" spans="3:13" ht="12.75" customHeight="1" x14ac:dyDescent="0.2">
      <c r="C64968"/>
      <c r="M64968"/>
    </row>
    <row r="64969" spans="3:13" ht="12.75" customHeight="1" x14ac:dyDescent="0.2">
      <c r="C64969"/>
      <c r="M64969"/>
    </row>
    <row r="64970" spans="3:13" ht="12.75" customHeight="1" x14ac:dyDescent="0.2">
      <c r="C64970"/>
      <c r="M64970"/>
    </row>
    <row r="64971" spans="3:13" ht="12.75" customHeight="1" x14ac:dyDescent="0.2">
      <c r="C64971"/>
      <c r="M64971"/>
    </row>
    <row r="64972" spans="3:13" ht="12.75" customHeight="1" x14ac:dyDescent="0.2">
      <c r="C64972"/>
      <c r="M64972"/>
    </row>
    <row r="64973" spans="3:13" ht="12.75" customHeight="1" x14ac:dyDescent="0.2">
      <c r="C64973"/>
      <c r="M64973"/>
    </row>
    <row r="64974" spans="3:13" ht="12.75" customHeight="1" x14ac:dyDescent="0.2">
      <c r="C64974"/>
      <c r="M64974"/>
    </row>
    <row r="64975" spans="3:13" ht="12.75" customHeight="1" x14ac:dyDescent="0.2">
      <c r="C64975"/>
      <c r="M64975"/>
    </row>
    <row r="64976" spans="3:13" ht="12.75" customHeight="1" x14ac:dyDescent="0.2">
      <c r="C64976"/>
      <c r="M64976"/>
    </row>
    <row r="64977" spans="3:13" ht="12.75" customHeight="1" x14ac:dyDescent="0.2">
      <c r="C64977"/>
      <c r="M64977"/>
    </row>
    <row r="64978" spans="3:13" ht="12.75" customHeight="1" x14ac:dyDescent="0.2">
      <c r="C64978"/>
      <c r="M64978"/>
    </row>
    <row r="64979" spans="3:13" ht="12.75" customHeight="1" x14ac:dyDescent="0.2">
      <c r="C64979"/>
      <c r="M64979"/>
    </row>
    <row r="64980" spans="3:13" ht="12.75" customHeight="1" x14ac:dyDescent="0.2">
      <c r="C64980"/>
      <c r="M64980"/>
    </row>
    <row r="64981" spans="3:13" ht="12.75" customHeight="1" x14ac:dyDescent="0.2">
      <c r="C64981"/>
      <c r="M64981"/>
    </row>
    <row r="64982" spans="3:13" ht="12.75" customHeight="1" x14ac:dyDescent="0.2">
      <c r="C64982"/>
      <c r="M64982"/>
    </row>
    <row r="64983" spans="3:13" ht="12.75" customHeight="1" x14ac:dyDescent="0.2">
      <c r="C64983"/>
      <c r="M64983"/>
    </row>
    <row r="64984" spans="3:13" ht="12.75" customHeight="1" x14ac:dyDescent="0.2">
      <c r="C64984"/>
      <c r="M64984"/>
    </row>
    <row r="64985" spans="3:13" ht="12.75" customHeight="1" x14ac:dyDescent="0.2">
      <c r="C64985"/>
      <c r="M64985"/>
    </row>
    <row r="64986" spans="3:13" ht="12.75" customHeight="1" x14ac:dyDescent="0.2">
      <c r="C64986"/>
      <c r="M64986"/>
    </row>
    <row r="64987" spans="3:13" ht="12.75" customHeight="1" x14ac:dyDescent="0.2">
      <c r="C64987"/>
      <c r="M64987"/>
    </row>
    <row r="64988" spans="3:13" ht="12.75" customHeight="1" x14ac:dyDescent="0.2">
      <c r="C64988"/>
      <c r="M64988"/>
    </row>
    <row r="64989" spans="3:13" ht="12.75" customHeight="1" x14ac:dyDescent="0.2">
      <c r="C64989"/>
      <c r="M64989"/>
    </row>
    <row r="64990" spans="3:13" ht="12.75" customHeight="1" x14ac:dyDescent="0.2">
      <c r="C64990"/>
      <c r="M64990"/>
    </row>
    <row r="64991" spans="3:13" ht="12.75" customHeight="1" x14ac:dyDescent="0.2">
      <c r="C64991"/>
      <c r="M64991"/>
    </row>
    <row r="64992" spans="3:13" ht="12.75" customHeight="1" x14ac:dyDescent="0.2">
      <c r="C64992"/>
      <c r="M64992"/>
    </row>
    <row r="64993" spans="3:13" ht="12.75" customHeight="1" x14ac:dyDescent="0.2">
      <c r="C64993"/>
      <c r="M64993"/>
    </row>
    <row r="64994" spans="3:13" ht="12.75" customHeight="1" x14ac:dyDescent="0.2">
      <c r="C64994"/>
      <c r="M64994"/>
    </row>
    <row r="64995" spans="3:13" ht="12.75" customHeight="1" x14ac:dyDescent="0.2">
      <c r="C64995"/>
      <c r="M64995"/>
    </row>
    <row r="64996" spans="3:13" ht="12.75" customHeight="1" x14ac:dyDescent="0.2">
      <c r="C64996"/>
      <c r="M64996"/>
    </row>
    <row r="64997" spans="3:13" ht="12.75" customHeight="1" x14ac:dyDescent="0.2">
      <c r="C64997"/>
      <c r="M64997"/>
    </row>
    <row r="64998" spans="3:13" ht="12.75" customHeight="1" x14ac:dyDescent="0.2">
      <c r="C64998"/>
      <c r="M64998"/>
    </row>
    <row r="64999" spans="3:13" ht="12.75" customHeight="1" x14ac:dyDescent="0.2">
      <c r="C64999"/>
      <c r="M64999"/>
    </row>
    <row r="65000" spans="3:13" ht="12.75" customHeight="1" x14ac:dyDescent="0.2">
      <c r="C65000"/>
      <c r="M65000"/>
    </row>
    <row r="65001" spans="3:13" ht="12.75" customHeight="1" x14ac:dyDescent="0.2">
      <c r="C65001"/>
      <c r="M65001"/>
    </row>
    <row r="65002" spans="3:13" ht="12.75" customHeight="1" x14ac:dyDescent="0.2">
      <c r="C65002"/>
      <c r="M65002"/>
    </row>
    <row r="65003" spans="3:13" ht="12.75" customHeight="1" x14ac:dyDescent="0.2">
      <c r="C65003"/>
      <c r="M65003"/>
    </row>
    <row r="65004" spans="3:13" ht="12.75" customHeight="1" x14ac:dyDescent="0.2">
      <c r="C65004"/>
      <c r="M65004"/>
    </row>
    <row r="65005" spans="3:13" ht="12.75" customHeight="1" x14ac:dyDescent="0.2">
      <c r="C65005"/>
      <c r="M65005"/>
    </row>
    <row r="65006" spans="3:13" ht="12.75" customHeight="1" x14ac:dyDescent="0.2">
      <c r="C65006"/>
      <c r="M65006"/>
    </row>
    <row r="65007" spans="3:13" ht="12.75" customHeight="1" x14ac:dyDescent="0.2">
      <c r="C65007"/>
      <c r="M65007"/>
    </row>
    <row r="65008" spans="3:13" ht="12.75" customHeight="1" x14ac:dyDescent="0.2">
      <c r="C65008"/>
      <c r="M65008"/>
    </row>
    <row r="65009" spans="3:13" ht="12.75" customHeight="1" x14ac:dyDescent="0.2">
      <c r="C65009"/>
      <c r="M65009"/>
    </row>
    <row r="65010" spans="3:13" ht="12.75" customHeight="1" x14ac:dyDescent="0.2">
      <c r="C65010"/>
      <c r="M65010"/>
    </row>
    <row r="65011" spans="3:13" ht="12.75" customHeight="1" x14ac:dyDescent="0.2">
      <c r="C65011"/>
      <c r="M65011"/>
    </row>
    <row r="65012" spans="3:13" ht="12.75" customHeight="1" x14ac:dyDescent="0.2">
      <c r="C65012"/>
      <c r="M65012"/>
    </row>
    <row r="65013" spans="3:13" ht="12.75" customHeight="1" x14ac:dyDescent="0.2">
      <c r="C65013"/>
      <c r="M65013"/>
    </row>
    <row r="65014" spans="3:13" ht="12.75" customHeight="1" x14ac:dyDescent="0.2">
      <c r="C65014"/>
      <c r="M65014"/>
    </row>
    <row r="65015" spans="3:13" ht="12.75" customHeight="1" x14ac:dyDescent="0.2">
      <c r="C65015"/>
      <c r="M65015"/>
    </row>
    <row r="65016" spans="3:13" ht="12.75" customHeight="1" x14ac:dyDescent="0.2">
      <c r="C65016"/>
      <c r="M65016"/>
    </row>
    <row r="65017" spans="3:13" ht="12.75" customHeight="1" x14ac:dyDescent="0.2">
      <c r="C65017"/>
      <c r="M65017"/>
    </row>
    <row r="65018" spans="3:13" ht="12.75" customHeight="1" x14ac:dyDescent="0.2">
      <c r="C65018"/>
      <c r="M65018"/>
    </row>
    <row r="65019" spans="3:13" ht="12.75" customHeight="1" x14ac:dyDescent="0.2">
      <c r="C65019"/>
      <c r="M65019"/>
    </row>
    <row r="65020" spans="3:13" ht="12.75" customHeight="1" x14ac:dyDescent="0.2">
      <c r="C65020"/>
      <c r="M65020"/>
    </row>
    <row r="65021" spans="3:13" ht="12.75" customHeight="1" x14ac:dyDescent="0.2">
      <c r="C65021"/>
      <c r="M65021"/>
    </row>
    <row r="65022" spans="3:13" ht="12.75" customHeight="1" x14ac:dyDescent="0.2">
      <c r="C65022"/>
      <c r="M65022"/>
    </row>
    <row r="65023" spans="3:13" ht="12.75" customHeight="1" x14ac:dyDescent="0.2">
      <c r="C65023"/>
      <c r="M65023"/>
    </row>
    <row r="65024" spans="3:13" ht="12.75" customHeight="1" x14ac:dyDescent="0.2">
      <c r="C65024"/>
      <c r="M65024"/>
    </row>
    <row r="65025" spans="3:13" ht="12.75" customHeight="1" x14ac:dyDescent="0.2">
      <c r="C65025"/>
      <c r="M65025"/>
    </row>
    <row r="65026" spans="3:13" ht="12.75" customHeight="1" x14ac:dyDescent="0.2">
      <c r="C65026"/>
      <c r="M65026"/>
    </row>
    <row r="65027" spans="3:13" ht="12.75" customHeight="1" x14ac:dyDescent="0.2">
      <c r="C65027"/>
      <c r="M65027"/>
    </row>
    <row r="65028" spans="3:13" ht="12.75" customHeight="1" x14ac:dyDescent="0.2">
      <c r="C65028"/>
      <c r="M65028"/>
    </row>
    <row r="65029" spans="3:13" ht="12.75" customHeight="1" x14ac:dyDescent="0.2">
      <c r="C65029"/>
      <c r="M65029"/>
    </row>
    <row r="65030" spans="3:13" ht="12.75" customHeight="1" x14ac:dyDescent="0.2">
      <c r="C65030"/>
      <c r="M65030"/>
    </row>
    <row r="65031" spans="3:13" ht="12.75" customHeight="1" x14ac:dyDescent="0.2">
      <c r="C65031"/>
      <c r="M65031"/>
    </row>
    <row r="65032" spans="3:13" ht="12.75" customHeight="1" x14ac:dyDescent="0.2">
      <c r="C65032"/>
      <c r="M65032"/>
    </row>
    <row r="65033" spans="3:13" ht="12.75" customHeight="1" x14ac:dyDescent="0.2">
      <c r="C65033"/>
      <c r="M65033"/>
    </row>
    <row r="65034" spans="3:13" ht="12.75" customHeight="1" x14ac:dyDescent="0.2">
      <c r="C65034"/>
      <c r="M65034"/>
    </row>
    <row r="65035" spans="3:13" ht="12.75" customHeight="1" x14ac:dyDescent="0.2">
      <c r="C65035"/>
      <c r="M65035"/>
    </row>
    <row r="65036" spans="3:13" ht="12.75" customHeight="1" x14ac:dyDescent="0.2">
      <c r="C65036"/>
      <c r="M65036"/>
    </row>
    <row r="65037" spans="3:13" ht="12.75" customHeight="1" x14ac:dyDescent="0.2">
      <c r="C65037"/>
      <c r="M65037"/>
    </row>
    <row r="65038" spans="3:13" ht="12.75" customHeight="1" x14ac:dyDescent="0.2">
      <c r="C65038"/>
      <c r="M65038"/>
    </row>
    <row r="65039" spans="3:13" ht="12.75" customHeight="1" x14ac:dyDescent="0.2">
      <c r="C65039"/>
      <c r="M65039"/>
    </row>
    <row r="65040" spans="3:13" ht="12.75" customHeight="1" x14ac:dyDescent="0.2">
      <c r="C65040"/>
      <c r="M65040"/>
    </row>
    <row r="65041" spans="3:13" ht="12.75" customHeight="1" x14ac:dyDescent="0.2">
      <c r="C65041"/>
      <c r="M65041"/>
    </row>
    <row r="65042" spans="3:13" ht="12.75" customHeight="1" x14ac:dyDescent="0.2">
      <c r="C65042"/>
      <c r="M65042"/>
    </row>
    <row r="65043" spans="3:13" ht="12.75" customHeight="1" x14ac:dyDescent="0.2">
      <c r="C65043"/>
      <c r="M65043"/>
    </row>
    <row r="65044" spans="3:13" ht="12.75" customHeight="1" x14ac:dyDescent="0.2">
      <c r="C65044"/>
      <c r="M65044"/>
    </row>
    <row r="65045" spans="3:13" ht="12.75" customHeight="1" x14ac:dyDescent="0.2">
      <c r="C65045"/>
      <c r="M65045"/>
    </row>
    <row r="65046" spans="3:13" ht="12.75" customHeight="1" x14ac:dyDescent="0.2">
      <c r="C65046"/>
      <c r="M65046"/>
    </row>
    <row r="65047" spans="3:13" ht="12.75" customHeight="1" x14ac:dyDescent="0.2">
      <c r="C65047"/>
      <c r="M65047"/>
    </row>
    <row r="65048" spans="3:13" ht="12.75" customHeight="1" x14ac:dyDescent="0.2">
      <c r="C65048"/>
      <c r="M65048"/>
    </row>
    <row r="65049" spans="3:13" ht="12.75" customHeight="1" x14ac:dyDescent="0.2">
      <c r="C65049"/>
      <c r="M65049"/>
    </row>
    <row r="65050" spans="3:13" ht="12.75" customHeight="1" x14ac:dyDescent="0.2">
      <c r="C65050"/>
      <c r="M65050"/>
    </row>
    <row r="65051" spans="3:13" ht="12.75" customHeight="1" x14ac:dyDescent="0.2">
      <c r="C65051"/>
      <c r="M65051"/>
    </row>
    <row r="65052" spans="3:13" ht="12.75" customHeight="1" x14ac:dyDescent="0.2">
      <c r="C65052"/>
      <c r="M65052"/>
    </row>
    <row r="65053" spans="3:13" ht="12.75" customHeight="1" x14ac:dyDescent="0.2">
      <c r="C65053"/>
      <c r="M65053"/>
    </row>
    <row r="65054" spans="3:13" ht="12.75" customHeight="1" x14ac:dyDescent="0.2">
      <c r="C65054"/>
      <c r="M65054"/>
    </row>
    <row r="65055" spans="3:13" ht="12.75" customHeight="1" x14ac:dyDescent="0.2">
      <c r="C65055"/>
      <c r="M65055"/>
    </row>
    <row r="65056" spans="3:13" ht="12.75" customHeight="1" x14ac:dyDescent="0.2">
      <c r="C65056"/>
      <c r="M65056"/>
    </row>
    <row r="65057" spans="3:13" ht="12.75" customHeight="1" x14ac:dyDescent="0.2">
      <c r="C65057"/>
      <c r="M65057"/>
    </row>
    <row r="65058" spans="3:13" ht="12.75" customHeight="1" x14ac:dyDescent="0.2">
      <c r="C65058"/>
      <c r="M65058"/>
    </row>
    <row r="65059" spans="3:13" ht="12.75" customHeight="1" x14ac:dyDescent="0.2">
      <c r="C65059"/>
      <c r="M65059"/>
    </row>
    <row r="65060" spans="3:13" ht="12.75" customHeight="1" x14ac:dyDescent="0.2">
      <c r="C65060"/>
      <c r="M65060"/>
    </row>
    <row r="65061" spans="3:13" ht="12.75" customHeight="1" x14ac:dyDescent="0.2">
      <c r="C65061"/>
      <c r="M65061"/>
    </row>
    <row r="65062" spans="3:13" ht="12.75" customHeight="1" x14ac:dyDescent="0.2">
      <c r="C65062"/>
      <c r="M65062"/>
    </row>
    <row r="65063" spans="3:13" ht="12.75" customHeight="1" x14ac:dyDescent="0.2">
      <c r="C65063"/>
      <c r="M65063"/>
    </row>
    <row r="65064" spans="3:13" ht="12.75" customHeight="1" x14ac:dyDescent="0.2">
      <c r="C65064"/>
      <c r="M65064"/>
    </row>
    <row r="65065" spans="3:13" ht="12.75" customHeight="1" x14ac:dyDescent="0.2">
      <c r="C65065"/>
      <c r="M65065"/>
    </row>
    <row r="65066" spans="3:13" ht="12.75" customHeight="1" x14ac:dyDescent="0.2">
      <c r="C65066"/>
      <c r="M65066"/>
    </row>
    <row r="65067" spans="3:13" ht="12.75" customHeight="1" x14ac:dyDescent="0.2">
      <c r="C65067"/>
      <c r="M65067"/>
    </row>
    <row r="65068" spans="3:13" ht="12.75" customHeight="1" x14ac:dyDescent="0.2">
      <c r="C65068"/>
      <c r="M65068"/>
    </row>
    <row r="65069" spans="3:13" ht="12.75" customHeight="1" x14ac:dyDescent="0.2">
      <c r="C65069"/>
      <c r="M65069"/>
    </row>
    <row r="65070" spans="3:13" ht="12.75" customHeight="1" x14ac:dyDescent="0.2">
      <c r="C65070"/>
      <c r="M65070"/>
    </row>
    <row r="65071" spans="3:13" ht="12.75" customHeight="1" x14ac:dyDescent="0.2">
      <c r="C65071"/>
      <c r="M65071"/>
    </row>
    <row r="65072" spans="3:13" ht="12.75" customHeight="1" x14ac:dyDescent="0.2">
      <c r="C65072"/>
      <c r="M65072"/>
    </row>
    <row r="65073" spans="3:13" ht="12.75" customHeight="1" x14ac:dyDescent="0.2">
      <c r="C65073"/>
      <c r="M65073"/>
    </row>
    <row r="65074" spans="3:13" ht="12.75" customHeight="1" x14ac:dyDescent="0.2">
      <c r="C65074"/>
      <c r="M65074"/>
    </row>
    <row r="65075" spans="3:13" ht="12.75" customHeight="1" x14ac:dyDescent="0.2">
      <c r="C65075"/>
      <c r="M65075"/>
    </row>
    <row r="65076" spans="3:13" ht="12.75" customHeight="1" x14ac:dyDescent="0.2">
      <c r="C65076"/>
      <c r="M65076"/>
    </row>
    <row r="65077" spans="3:13" ht="12.75" customHeight="1" x14ac:dyDescent="0.2">
      <c r="C65077"/>
      <c r="M65077"/>
    </row>
    <row r="65078" spans="3:13" ht="12.75" customHeight="1" x14ac:dyDescent="0.2">
      <c r="C65078"/>
      <c r="M65078"/>
    </row>
    <row r="65079" spans="3:13" ht="12.75" customHeight="1" x14ac:dyDescent="0.2">
      <c r="C65079"/>
      <c r="M65079"/>
    </row>
    <row r="65080" spans="3:13" ht="12.75" customHeight="1" x14ac:dyDescent="0.2">
      <c r="C65080"/>
      <c r="M65080"/>
    </row>
    <row r="65081" spans="3:13" ht="12.75" customHeight="1" x14ac:dyDescent="0.2">
      <c r="C65081"/>
      <c r="M65081"/>
    </row>
    <row r="65082" spans="3:13" ht="12.75" customHeight="1" x14ac:dyDescent="0.2">
      <c r="C65082"/>
      <c r="M65082"/>
    </row>
    <row r="65083" spans="3:13" ht="12.75" customHeight="1" x14ac:dyDescent="0.2">
      <c r="C65083"/>
      <c r="M65083"/>
    </row>
    <row r="65084" spans="3:13" ht="12.75" customHeight="1" x14ac:dyDescent="0.2">
      <c r="C65084"/>
      <c r="M65084"/>
    </row>
    <row r="65085" spans="3:13" ht="12.75" customHeight="1" x14ac:dyDescent="0.2">
      <c r="C65085"/>
      <c r="M65085"/>
    </row>
    <row r="65086" spans="3:13" ht="12.75" customHeight="1" x14ac:dyDescent="0.2">
      <c r="C65086"/>
      <c r="M65086"/>
    </row>
    <row r="65087" spans="3:13" ht="12.75" customHeight="1" x14ac:dyDescent="0.2">
      <c r="C65087"/>
      <c r="M65087"/>
    </row>
    <row r="65088" spans="3:13" ht="12.75" customHeight="1" x14ac:dyDescent="0.2">
      <c r="C65088"/>
      <c r="M65088"/>
    </row>
    <row r="65089" spans="3:13" ht="12.75" customHeight="1" x14ac:dyDescent="0.2">
      <c r="C65089"/>
      <c r="M65089"/>
    </row>
    <row r="65090" spans="3:13" ht="12.75" customHeight="1" x14ac:dyDescent="0.2">
      <c r="C65090"/>
      <c r="M65090"/>
    </row>
    <row r="65091" spans="3:13" ht="12.75" customHeight="1" x14ac:dyDescent="0.2">
      <c r="C65091"/>
      <c r="M65091"/>
    </row>
    <row r="65092" spans="3:13" ht="12.75" customHeight="1" x14ac:dyDescent="0.2">
      <c r="C65092"/>
      <c r="M65092"/>
    </row>
    <row r="65093" spans="3:13" ht="12.75" customHeight="1" x14ac:dyDescent="0.2">
      <c r="C65093"/>
      <c r="M65093"/>
    </row>
    <row r="65094" spans="3:13" ht="12.75" customHeight="1" x14ac:dyDescent="0.2">
      <c r="C65094"/>
      <c r="M65094"/>
    </row>
    <row r="65095" spans="3:13" ht="12.75" customHeight="1" x14ac:dyDescent="0.2">
      <c r="C65095"/>
      <c r="M65095"/>
    </row>
    <row r="65096" spans="3:13" ht="12.75" customHeight="1" x14ac:dyDescent="0.2">
      <c r="C65096"/>
      <c r="M65096"/>
    </row>
    <row r="65097" spans="3:13" ht="12.75" customHeight="1" x14ac:dyDescent="0.2">
      <c r="C65097"/>
      <c r="M65097"/>
    </row>
    <row r="65098" spans="3:13" ht="12.75" customHeight="1" x14ac:dyDescent="0.2">
      <c r="C65098"/>
      <c r="M65098"/>
    </row>
    <row r="65099" spans="3:13" ht="12.75" customHeight="1" x14ac:dyDescent="0.2">
      <c r="C65099"/>
      <c r="M65099"/>
    </row>
    <row r="65100" spans="3:13" ht="12.75" customHeight="1" x14ac:dyDescent="0.2">
      <c r="C65100"/>
      <c r="M65100"/>
    </row>
    <row r="65101" spans="3:13" ht="12.75" customHeight="1" x14ac:dyDescent="0.2">
      <c r="C65101"/>
      <c r="M65101"/>
    </row>
    <row r="65102" spans="3:13" ht="12.75" customHeight="1" x14ac:dyDescent="0.2">
      <c r="C65102"/>
      <c r="M65102"/>
    </row>
    <row r="65103" spans="3:13" ht="12.75" customHeight="1" x14ac:dyDescent="0.2">
      <c r="C65103"/>
      <c r="M65103"/>
    </row>
    <row r="65104" spans="3:13" ht="12.75" customHeight="1" x14ac:dyDescent="0.2">
      <c r="C65104"/>
      <c r="M65104"/>
    </row>
    <row r="65105" spans="3:13" ht="12.75" customHeight="1" x14ac:dyDescent="0.2">
      <c r="C65105"/>
      <c r="M65105"/>
    </row>
    <row r="65106" spans="3:13" ht="12.75" customHeight="1" x14ac:dyDescent="0.2">
      <c r="C65106"/>
      <c r="M65106"/>
    </row>
    <row r="65107" spans="3:13" ht="12.75" customHeight="1" x14ac:dyDescent="0.2">
      <c r="C65107"/>
      <c r="M65107"/>
    </row>
    <row r="65108" spans="3:13" ht="12.75" customHeight="1" x14ac:dyDescent="0.2">
      <c r="C65108"/>
      <c r="M65108"/>
    </row>
    <row r="65109" spans="3:13" ht="12.75" customHeight="1" x14ac:dyDescent="0.2">
      <c r="C65109"/>
      <c r="M65109"/>
    </row>
    <row r="65110" spans="3:13" ht="12.75" customHeight="1" x14ac:dyDescent="0.2">
      <c r="C65110"/>
      <c r="M65110"/>
    </row>
    <row r="65111" spans="3:13" ht="12.75" customHeight="1" x14ac:dyDescent="0.2">
      <c r="C65111"/>
      <c r="M65111"/>
    </row>
    <row r="65112" spans="3:13" ht="12.75" customHeight="1" x14ac:dyDescent="0.2">
      <c r="C65112"/>
      <c r="M65112"/>
    </row>
    <row r="65113" spans="3:13" ht="12.75" customHeight="1" x14ac:dyDescent="0.2">
      <c r="C65113"/>
      <c r="M65113"/>
    </row>
    <row r="65114" spans="3:13" ht="12.75" customHeight="1" x14ac:dyDescent="0.2">
      <c r="C65114"/>
      <c r="M65114"/>
    </row>
    <row r="65115" spans="3:13" ht="12.75" customHeight="1" x14ac:dyDescent="0.2">
      <c r="C65115"/>
      <c r="M65115"/>
    </row>
    <row r="65116" spans="3:13" ht="12.75" customHeight="1" x14ac:dyDescent="0.2">
      <c r="C65116"/>
      <c r="M65116"/>
    </row>
    <row r="65117" spans="3:13" ht="12.75" customHeight="1" x14ac:dyDescent="0.2">
      <c r="C65117"/>
      <c r="M65117"/>
    </row>
    <row r="65118" spans="3:13" ht="12.75" customHeight="1" x14ac:dyDescent="0.2">
      <c r="C65118"/>
      <c r="M65118"/>
    </row>
    <row r="65119" spans="3:13" ht="12.75" customHeight="1" x14ac:dyDescent="0.2">
      <c r="C65119"/>
      <c r="M65119"/>
    </row>
    <row r="65120" spans="3:13" ht="12.75" customHeight="1" x14ac:dyDescent="0.2">
      <c r="C65120"/>
      <c r="M65120"/>
    </row>
    <row r="65121" spans="3:13" ht="12.75" customHeight="1" x14ac:dyDescent="0.2">
      <c r="C65121"/>
      <c r="M65121"/>
    </row>
    <row r="65122" spans="3:13" ht="12.75" customHeight="1" x14ac:dyDescent="0.2">
      <c r="C65122"/>
      <c r="M65122"/>
    </row>
    <row r="65123" spans="3:13" ht="12.75" customHeight="1" x14ac:dyDescent="0.2">
      <c r="C65123"/>
      <c r="M65123"/>
    </row>
    <row r="65124" spans="3:13" ht="12.75" customHeight="1" x14ac:dyDescent="0.2">
      <c r="C65124"/>
      <c r="M65124"/>
    </row>
    <row r="65125" spans="3:13" ht="12.75" customHeight="1" x14ac:dyDescent="0.2">
      <c r="C65125"/>
      <c r="M65125"/>
    </row>
    <row r="65126" spans="3:13" ht="12.75" customHeight="1" x14ac:dyDescent="0.2">
      <c r="C65126"/>
      <c r="M65126"/>
    </row>
    <row r="65127" spans="3:13" ht="12.75" customHeight="1" x14ac:dyDescent="0.2">
      <c r="C65127"/>
      <c r="M65127"/>
    </row>
    <row r="65128" spans="3:13" ht="12.75" customHeight="1" x14ac:dyDescent="0.2">
      <c r="C65128"/>
      <c r="M65128"/>
    </row>
    <row r="65129" spans="3:13" ht="12.75" customHeight="1" x14ac:dyDescent="0.2">
      <c r="C65129"/>
      <c r="M65129"/>
    </row>
    <row r="65130" spans="3:13" ht="12.75" customHeight="1" x14ac:dyDescent="0.2">
      <c r="C65130"/>
      <c r="M65130"/>
    </row>
    <row r="65131" spans="3:13" ht="12.75" customHeight="1" x14ac:dyDescent="0.2">
      <c r="C65131"/>
      <c r="M65131"/>
    </row>
    <row r="65132" spans="3:13" ht="12.75" customHeight="1" x14ac:dyDescent="0.2">
      <c r="C65132"/>
      <c r="M65132"/>
    </row>
    <row r="65133" spans="3:13" ht="12.75" customHeight="1" x14ac:dyDescent="0.2">
      <c r="C65133"/>
      <c r="M65133"/>
    </row>
    <row r="65134" spans="3:13" ht="12.75" customHeight="1" x14ac:dyDescent="0.2">
      <c r="C65134"/>
      <c r="M65134"/>
    </row>
    <row r="65135" spans="3:13" ht="12.75" customHeight="1" x14ac:dyDescent="0.2">
      <c r="C65135"/>
      <c r="M65135"/>
    </row>
    <row r="65136" spans="3:13" ht="12.75" customHeight="1" x14ac:dyDescent="0.2">
      <c r="C65136"/>
      <c r="M65136"/>
    </row>
    <row r="65137" spans="3:13" ht="12.75" customHeight="1" x14ac:dyDescent="0.2">
      <c r="C65137"/>
      <c r="M65137"/>
    </row>
    <row r="65138" spans="3:13" ht="12.75" customHeight="1" x14ac:dyDescent="0.2">
      <c r="C65138"/>
      <c r="M65138"/>
    </row>
    <row r="65139" spans="3:13" ht="12.75" customHeight="1" x14ac:dyDescent="0.2">
      <c r="C65139"/>
      <c r="M65139"/>
    </row>
    <row r="65140" spans="3:13" ht="12.75" customHeight="1" x14ac:dyDescent="0.2">
      <c r="C65140"/>
      <c r="M65140"/>
    </row>
    <row r="65141" spans="3:13" ht="12.75" customHeight="1" x14ac:dyDescent="0.2">
      <c r="C65141"/>
      <c r="M65141"/>
    </row>
    <row r="65142" spans="3:13" ht="12.75" customHeight="1" x14ac:dyDescent="0.2">
      <c r="C65142"/>
      <c r="M65142"/>
    </row>
    <row r="65143" spans="3:13" ht="12.75" customHeight="1" x14ac:dyDescent="0.2">
      <c r="C65143"/>
      <c r="M65143"/>
    </row>
    <row r="65144" spans="3:13" ht="12.75" customHeight="1" x14ac:dyDescent="0.2">
      <c r="C65144"/>
      <c r="M65144"/>
    </row>
    <row r="65145" spans="3:13" ht="12.75" customHeight="1" x14ac:dyDescent="0.2">
      <c r="C65145"/>
      <c r="M65145"/>
    </row>
    <row r="65146" spans="3:13" ht="12.75" customHeight="1" x14ac:dyDescent="0.2">
      <c r="C65146"/>
      <c r="M65146"/>
    </row>
    <row r="65147" spans="3:13" ht="12.75" customHeight="1" x14ac:dyDescent="0.2">
      <c r="C65147"/>
      <c r="M65147"/>
    </row>
    <row r="65148" spans="3:13" ht="12.75" customHeight="1" x14ac:dyDescent="0.2">
      <c r="C65148"/>
      <c r="M65148"/>
    </row>
    <row r="65149" spans="3:13" ht="12.75" customHeight="1" x14ac:dyDescent="0.2">
      <c r="C65149"/>
      <c r="M65149"/>
    </row>
    <row r="65150" spans="3:13" ht="12.75" customHeight="1" x14ac:dyDescent="0.2">
      <c r="C65150"/>
      <c r="M65150"/>
    </row>
    <row r="65151" spans="3:13" ht="12.75" customHeight="1" x14ac:dyDescent="0.2">
      <c r="C65151"/>
      <c r="M65151"/>
    </row>
    <row r="65152" spans="3:13" ht="12.75" customHeight="1" x14ac:dyDescent="0.2">
      <c r="C65152"/>
      <c r="M65152"/>
    </row>
    <row r="65153" spans="3:13" ht="12.75" customHeight="1" x14ac:dyDescent="0.2">
      <c r="C65153"/>
      <c r="M65153"/>
    </row>
    <row r="65154" spans="3:13" ht="12.75" customHeight="1" x14ac:dyDescent="0.2">
      <c r="C65154"/>
      <c r="M65154"/>
    </row>
    <row r="65155" spans="3:13" ht="12.75" customHeight="1" x14ac:dyDescent="0.2">
      <c r="C65155"/>
      <c r="M65155"/>
    </row>
    <row r="65156" spans="3:13" ht="12.75" customHeight="1" x14ac:dyDescent="0.2">
      <c r="C65156"/>
      <c r="M65156"/>
    </row>
    <row r="65157" spans="3:13" ht="12.75" customHeight="1" x14ac:dyDescent="0.2">
      <c r="C65157"/>
      <c r="M65157"/>
    </row>
    <row r="65158" spans="3:13" ht="12.75" customHeight="1" x14ac:dyDescent="0.2">
      <c r="C65158"/>
      <c r="M65158"/>
    </row>
    <row r="65159" spans="3:13" ht="12.75" customHeight="1" x14ac:dyDescent="0.2">
      <c r="C65159"/>
      <c r="M65159"/>
    </row>
    <row r="65160" spans="3:13" ht="12.75" customHeight="1" x14ac:dyDescent="0.2">
      <c r="C65160"/>
      <c r="M65160"/>
    </row>
    <row r="65161" spans="3:13" ht="12.75" customHeight="1" x14ac:dyDescent="0.2">
      <c r="C65161"/>
      <c r="M65161"/>
    </row>
    <row r="65162" spans="3:13" ht="12.75" customHeight="1" x14ac:dyDescent="0.2">
      <c r="C65162"/>
      <c r="M65162"/>
    </row>
    <row r="65163" spans="3:13" ht="12.75" customHeight="1" x14ac:dyDescent="0.2">
      <c r="C65163"/>
      <c r="M65163"/>
    </row>
    <row r="65164" spans="3:13" ht="12.75" customHeight="1" x14ac:dyDescent="0.2">
      <c r="C65164"/>
      <c r="M65164"/>
    </row>
    <row r="65165" spans="3:13" ht="12.75" customHeight="1" x14ac:dyDescent="0.2">
      <c r="C65165"/>
      <c r="M65165"/>
    </row>
    <row r="65166" spans="3:13" ht="12.75" customHeight="1" x14ac:dyDescent="0.2">
      <c r="C65166"/>
      <c r="M65166"/>
    </row>
    <row r="65167" spans="3:13" ht="12.75" customHeight="1" x14ac:dyDescent="0.2">
      <c r="C65167"/>
      <c r="M65167"/>
    </row>
    <row r="65168" spans="3:13" ht="12.75" customHeight="1" x14ac:dyDescent="0.2">
      <c r="C65168"/>
      <c r="M65168"/>
    </row>
    <row r="65169" spans="3:13" ht="12.75" customHeight="1" x14ac:dyDescent="0.2">
      <c r="C65169"/>
      <c r="M65169"/>
    </row>
    <row r="65170" spans="3:13" ht="12.75" customHeight="1" x14ac:dyDescent="0.2">
      <c r="C65170"/>
      <c r="M65170"/>
    </row>
    <row r="65171" spans="3:13" ht="12.75" customHeight="1" x14ac:dyDescent="0.2">
      <c r="C65171"/>
      <c r="M65171"/>
    </row>
    <row r="65172" spans="3:13" ht="12.75" customHeight="1" x14ac:dyDescent="0.2">
      <c r="C65172"/>
      <c r="M65172"/>
    </row>
    <row r="65173" spans="3:13" ht="12.75" customHeight="1" x14ac:dyDescent="0.2">
      <c r="C65173"/>
      <c r="M65173"/>
    </row>
    <row r="65174" spans="3:13" ht="12.75" customHeight="1" x14ac:dyDescent="0.2">
      <c r="C65174"/>
      <c r="M65174"/>
    </row>
    <row r="65175" spans="3:13" ht="12.75" customHeight="1" x14ac:dyDescent="0.2">
      <c r="C65175"/>
      <c r="M65175"/>
    </row>
    <row r="65176" spans="3:13" ht="12.75" customHeight="1" x14ac:dyDescent="0.2">
      <c r="C65176"/>
      <c r="M65176"/>
    </row>
    <row r="65177" spans="3:13" ht="12.75" customHeight="1" x14ac:dyDescent="0.2">
      <c r="C65177"/>
      <c r="M65177"/>
    </row>
    <row r="65178" spans="3:13" ht="12.75" customHeight="1" x14ac:dyDescent="0.2">
      <c r="C65178"/>
      <c r="M65178"/>
    </row>
    <row r="65179" spans="3:13" ht="12.75" customHeight="1" x14ac:dyDescent="0.2">
      <c r="C65179"/>
      <c r="M65179"/>
    </row>
    <row r="65180" spans="3:13" ht="12.75" customHeight="1" x14ac:dyDescent="0.2">
      <c r="C65180"/>
      <c r="M65180"/>
    </row>
    <row r="65181" spans="3:13" ht="12.75" customHeight="1" x14ac:dyDescent="0.2">
      <c r="C65181"/>
      <c r="M65181"/>
    </row>
    <row r="65182" spans="3:13" ht="12.75" customHeight="1" x14ac:dyDescent="0.2">
      <c r="C65182"/>
      <c r="M65182"/>
    </row>
    <row r="65183" spans="3:13" ht="12.75" customHeight="1" x14ac:dyDescent="0.2">
      <c r="C65183"/>
      <c r="M65183"/>
    </row>
    <row r="65184" spans="3:13" ht="12.75" customHeight="1" x14ac:dyDescent="0.2">
      <c r="C65184"/>
      <c r="M65184"/>
    </row>
    <row r="65185" spans="3:13" ht="12.75" customHeight="1" x14ac:dyDescent="0.2">
      <c r="C65185"/>
      <c r="M65185"/>
    </row>
    <row r="65186" spans="3:13" ht="12.75" customHeight="1" x14ac:dyDescent="0.2">
      <c r="C65186"/>
      <c r="M65186"/>
    </row>
    <row r="65187" spans="3:13" ht="12.75" customHeight="1" x14ac:dyDescent="0.2">
      <c r="C65187"/>
      <c r="M65187"/>
    </row>
    <row r="65188" spans="3:13" ht="12.75" customHeight="1" x14ac:dyDescent="0.2">
      <c r="C65188"/>
      <c r="M65188"/>
    </row>
    <row r="65189" spans="3:13" ht="12.75" customHeight="1" x14ac:dyDescent="0.2">
      <c r="C65189"/>
      <c r="M65189"/>
    </row>
    <row r="65190" spans="3:13" ht="12.75" customHeight="1" x14ac:dyDescent="0.2">
      <c r="C65190"/>
      <c r="M65190"/>
    </row>
    <row r="65191" spans="3:13" ht="12.75" customHeight="1" x14ac:dyDescent="0.2">
      <c r="C65191"/>
      <c r="M65191"/>
    </row>
    <row r="65192" spans="3:13" ht="12.75" customHeight="1" x14ac:dyDescent="0.2">
      <c r="C65192"/>
      <c r="M65192"/>
    </row>
    <row r="65193" spans="3:13" ht="12.75" customHeight="1" x14ac:dyDescent="0.2">
      <c r="C65193"/>
      <c r="M65193"/>
    </row>
    <row r="65194" spans="3:13" ht="12.75" customHeight="1" x14ac:dyDescent="0.2">
      <c r="C65194"/>
      <c r="M65194"/>
    </row>
    <row r="65195" spans="3:13" ht="12.75" customHeight="1" x14ac:dyDescent="0.2">
      <c r="C65195"/>
      <c r="M65195"/>
    </row>
    <row r="65196" spans="3:13" ht="12.75" customHeight="1" x14ac:dyDescent="0.2">
      <c r="C65196"/>
      <c r="M65196"/>
    </row>
    <row r="65197" spans="3:13" ht="12.75" customHeight="1" x14ac:dyDescent="0.2">
      <c r="C65197"/>
      <c r="M65197"/>
    </row>
    <row r="65198" spans="3:13" ht="12.75" customHeight="1" x14ac:dyDescent="0.2">
      <c r="C65198"/>
      <c r="M65198"/>
    </row>
    <row r="65199" spans="3:13" ht="12.75" customHeight="1" x14ac:dyDescent="0.2">
      <c r="C65199"/>
      <c r="M65199"/>
    </row>
    <row r="65200" spans="3:13" ht="12.75" customHeight="1" x14ac:dyDescent="0.2">
      <c r="C65200"/>
      <c r="M65200"/>
    </row>
    <row r="65201" spans="3:13" ht="12.75" customHeight="1" x14ac:dyDescent="0.2">
      <c r="C65201"/>
      <c r="M65201"/>
    </row>
    <row r="65202" spans="3:13" ht="12.75" customHeight="1" x14ac:dyDescent="0.2">
      <c r="C65202"/>
      <c r="M65202"/>
    </row>
    <row r="65203" spans="3:13" ht="12.75" customHeight="1" x14ac:dyDescent="0.2">
      <c r="C65203"/>
      <c r="M65203"/>
    </row>
    <row r="65204" spans="3:13" ht="12.75" customHeight="1" x14ac:dyDescent="0.2">
      <c r="C65204"/>
      <c r="M65204"/>
    </row>
    <row r="65205" spans="3:13" ht="12.75" customHeight="1" x14ac:dyDescent="0.2">
      <c r="C65205"/>
      <c r="M65205"/>
    </row>
    <row r="65206" spans="3:13" ht="12.75" customHeight="1" x14ac:dyDescent="0.2">
      <c r="C65206"/>
      <c r="M65206"/>
    </row>
    <row r="65207" spans="3:13" ht="12.75" customHeight="1" x14ac:dyDescent="0.2">
      <c r="C65207"/>
      <c r="M65207"/>
    </row>
    <row r="65208" spans="3:13" ht="12.75" customHeight="1" x14ac:dyDescent="0.2">
      <c r="C65208"/>
      <c r="M65208"/>
    </row>
    <row r="65209" spans="3:13" ht="12.75" customHeight="1" x14ac:dyDescent="0.2">
      <c r="C65209"/>
      <c r="M65209"/>
    </row>
    <row r="65210" spans="3:13" ht="12.75" customHeight="1" x14ac:dyDescent="0.2">
      <c r="C65210"/>
      <c r="M65210"/>
    </row>
    <row r="65211" spans="3:13" ht="12.75" customHeight="1" x14ac:dyDescent="0.2">
      <c r="C65211"/>
      <c r="M65211"/>
    </row>
    <row r="65212" spans="3:13" ht="12.75" customHeight="1" x14ac:dyDescent="0.2">
      <c r="C65212"/>
      <c r="M65212"/>
    </row>
    <row r="65213" spans="3:13" ht="12.75" customHeight="1" x14ac:dyDescent="0.2">
      <c r="C65213"/>
      <c r="M65213"/>
    </row>
    <row r="65214" spans="3:13" ht="12.75" customHeight="1" x14ac:dyDescent="0.2">
      <c r="C65214"/>
      <c r="M65214"/>
    </row>
    <row r="65215" spans="3:13" ht="12.75" customHeight="1" x14ac:dyDescent="0.2">
      <c r="C65215"/>
      <c r="M65215"/>
    </row>
    <row r="65216" spans="3:13" ht="12.75" customHeight="1" x14ac:dyDescent="0.2">
      <c r="C65216"/>
      <c r="M65216"/>
    </row>
    <row r="65217" spans="3:13" ht="12.75" customHeight="1" x14ac:dyDescent="0.2">
      <c r="C65217"/>
      <c r="M65217"/>
    </row>
    <row r="65218" spans="3:13" ht="12.75" customHeight="1" x14ac:dyDescent="0.2">
      <c r="C65218"/>
      <c r="M65218"/>
    </row>
    <row r="65219" spans="3:13" ht="12.75" customHeight="1" x14ac:dyDescent="0.2">
      <c r="C65219"/>
      <c r="M65219"/>
    </row>
    <row r="65220" spans="3:13" ht="12.75" customHeight="1" x14ac:dyDescent="0.2">
      <c r="C65220"/>
      <c r="M65220"/>
    </row>
    <row r="65221" spans="3:13" ht="12.75" customHeight="1" x14ac:dyDescent="0.2">
      <c r="C65221"/>
      <c r="M65221"/>
    </row>
    <row r="65222" spans="3:13" ht="12.75" customHeight="1" x14ac:dyDescent="0.2">
      <c r="C65222"/>
      <c r="M65222"/>
    </row>
    <row r="65223" spans="3:13" ht="12.75" customHeight="1" x14ac:dyDescent="0.2">
      <c r="C65223"/>
      <c r="M65223"/>
    </row>
    <row r="65224" spans="3:13" ht="12.75" customHeight="1" x14ac:dyDescent="0.2">
      <c r="C65224"/>
      <c r="M65224"/>
    </row>
    <row r="65225" spans="3:13" ht="12.75" customHeight="1" x14ac:dyDescent="0.2">
      <c r="C65225"/>
      <c r="M65225"/>
    </row>
    <row r="65226" spans="3:13" ht="12.75" customHeight="1" x14ac:dyDescent="0.2">
      <c r="C65226"/>
      <c r="M65226"/>
    </row>
    <row r="65227" spans="3:13" ht="12.75" customHeight="1" x14ac:dyDescent="0.2">
      <c r="C65227"/>
      <c r="M65227"/>
    </row>
    <row r="65228" spans="3:13" ht="12.75" customHeight="1" x14ac:dyDescent="0.2">
      <c r="C65228"/>
      <c r="M65228"/>
    </row>
    <row r="65229" spans="3:13" ht="12.75" customHeight="1" x14ac:dyDescent="0.2">
      <c r="C65229"/>
      <c r="M65229"/>
    </row>
    <row r="65230" spans="3:13" ht="12.75" customHeight="1" x14ac:dyDescent="0.2">
      <c r="C65230"/>
      <c r="M65230"/>
    </row>
    <row r="65231" spans="3:13" ht="12.75" customHeight="1" x14ac:dyDescent="0.2">
      <c r="C65231"/>
      <c r="M65231"/>
    </row>
    <row r="65232" spans="3:13" ht="12.75" customHeight="1" x14ac:dyDescent="0.2">
      <c r="C65232"/>
      <c r="M65232"/>
    </row>
    <row r="65233" spans="3:13" ht="12.75" customHeight="1" x14ac:dyDescent="0.2">
      <c r="C65233"/>
      <c r="M65233"/>
    </row>
    <row r="65234" spans="3:13" ht="12.75" customHeight="1" x14ac:dyDescent="0.2">
      <c r="C65234"/>
      <c r="M65234"/>
    </row>
    <row r="65235" spans="3:13" ht="12.75" customHeight="1" x14ac:dyDescent="0.2">
      <c r="C65235"/>
      <c r="M65235"/>
    </row>
    <row r="65236" spans="3:13" ht="12.75" customHeight="1" x14ac:dyDescent="0.2">
      <c r="C65236"/>
      <c r="M65236"/>
    </row>
    <row r="65237" spans="3:13" ht="12.75" customHeight="1" x14ac:dyDescent="0.2">
      <c r="C65237"/>
      <c r="M65237"/>
    </row>
    <row r="65238" spans="3:13" ht="12.75" customHeight="1" x14ac:dyDescent="0.2">
      <c r="C65238"/>
      <c r="M65238"/>
    </row>
    <row r="65239" spans="3:13" ht="12.75" customHeight="1" x14ac:dyDescent="0.2">
      <c r="C65239"/>
      <c r="M65239"/>
    </row>
    <row r="65240" spans="3:13" ht="12.75" customHeight="1" x14ac:dyDescent="0.2">
      <c r="C65240"/>
      <c r="M65240"/>
    </row>
    <row r="65241" spans="3:13" ht="12.75" customHeight="1" x14ac:dyDescent="0.2">
      <c r="C65241"/>
      <c r="M65241"/>
    </row>
    <row r="65242" spans="3:13" ht="12.75" customHeight="1" x14ac:dyDescent="0.2">
      <c r="C65242"/>
      <c r="M65242"/>
    </row>
    <row r="65243" spans="3:13" ht="12.75" customHeight="1" x14ac:dyDescent="0.2">
      <c r="C65243"/>
      <c r="M65243"/>
    </row>
    <row r="65244" spans="3:13" ht="12.75" customHeight="1" x14ac:dyDescent="0.2">
      <c r="C65244"/>
      <c r="M65244"/>
    </row>
    <row r="65245" spans="3:13" ht="12.75" customHeight="1" x14ac:dyDescent="0.2">
      <c r="C65245"/>
      <c r="M65245"/>
    </row>
    <row r="65246" spans="3:13" ht="12.75" customHeight="1" x14ac:dyDescent="0.2">
      <c r="C65246"/>
      <c r="M65246"/>
    </row>
    <row r="65247" spans="3:13" ht="12.75" customHeight="1" x14ac:dyDescent="0.2">
      <c r="C65247"/>
      <c r="M65247"/>
    </row>
    <row r="65248" spans="3:13" ht="12.75" customHeight="1" x14ac:dyDescent="0.2">
      <c r="C65248"/>
      <c r="M65248"/>
    </row>
    <row r="65249" spans="3:13" ht="12.75" customHeight="1" x14ac:dyDescent="0.2">
      <c r="C65249"/>
      <c r="M65249"/>
    </row>
    <row r="65250" spans="3:13" ht="12.75" customHeight="1" x14ac:dyDescent="0.2">
      <c r="C65250"/>
      <c r="M65250"/>
    </row>
    <row r="65251" spans="3:13" ht="12.75" customHeight="1" x14ac:dyDescent="0.2">
      <c r="C65251"/>
      <c r="M65251"/>
    </row>
    <row r="65252" spans="3:13" ht="12.75" customHeight="1" x14ac:dyDescent="0.2">
      <c r="C65252"/>
      <c r="M65252"/>
    </row>
    <row r="65253" spans="3:13" ht="12.75" customHeight="1" x14ac:dyDescent="0.2">
      <c r="C65253"/>
      <c r="M65253"/>
    </row>
    <row r="65254" spans="3:13" ht="12.75" customHeight="1" x14ac:dyDescent="0.2">
      <c r="C65254"/>
      <c r="M65254"/>
    </row>
    <row r="65255" spans="3:13" ht="12.75" customHeight="1" x14ac:dyDescent="0.2">
      <c r="C65255"/>
      <c r="M65255"/>
    </row>
    <row r="65256" spans="3:13" ht="12.75" customHeight="1" x14ac:dyDescent="0.2">
      <c r="C65256"/>
      <c r="M65256"/>
    </row>
    <row r="65257" spans="3:13" ht="12.75" customHeight="1" x14ac:dyDescent="0.2">
      <c r="C65257"/>
      <c r="M65257"/>
    </row>
    <row r="65258" spans="3:13" ht="12.75" customHeight="1" x14ac:dyDescent="0.2">
      <c r="C65258"/>
      <c r="M65258"/>
    </row>
    <row r="65259" spans="3:13" ht="12.75" customHeight="1" x14ac:dyDescent="0.2">
      <c r="C65259"/>
      <c r="M65259"/>
    </row>
    <row r="65260" spans="3:13" ht="12.75" customHeight="1" x14ac:dyDescent="0.2">
      <c r="C65260"/>
      <c r="M65260"/>
    </row>
    <row r="65261" spans="3:13" ht="12.75" customHeight="1" x14ac:dyDescent="0.2">
      <c r="C65261"/>
      <c r="M65261"/>
    </row>
    <row r="65262" spans="3:13" ht="12.75" customHeight="1" x14ac:dyDescent="0.2">
      <c r="C65262"/>
      <c r="M65262"/>
    </row>
    <row r="65263" spans="3:13" ht="12.75" customHeight="1" x14ac:dyDescent="0.2">
      <c r="C65263"/>
      <c r="M65263"/>
    </row>
    <row r="65264" spans="3:13" ht="12.75" customHeight="1" x14ac:dyDescent="0.2">
      <c r="C65264"/>
      <c r="M65264"/>
    </row>
    <row r="65265" spans="3:13" ht="12.75" customHeight="1" x14ac:dyDescent="0.2">
      <c r="C65265"/>
      <c r="M65265"/>
    </row>
    <row r="65266" spans="3:13" ht="12.75" customHeight="1" x14ac:dyDescent="0.2">
      <c r="C65266"/>
      <c r="M65266"/>
    </row>
    <row r="65267" spans="3:13" ht="12.75" customHeight="1" x14ac:dyDescent="0.2">
      <c r="C65267"/>
      <c r="M65267"/>
    </row>
    <row r="65268" spans="3:13" ht="12.75" customHeight="1" x14ac:dyDescent="0.2">
      <c r="C65268"/>
      <c r="M65268"/>
    </row>
    <row r="65269" spans="3:13" ht="12.75" customHeight="1" x14ac:dyDescent="0.2">
      <c r="C65269"/>
      <c r="M65269"/>
    </row>
    <row r="65270" spans="3:13" ht="12.75" customHeight="1" x14ac:dyDescent="0.2">
      <c r="C65270"/>
      <c r="M65270"/>
    </row>
    <row r="65271" spans="3:13" ht="12.75" customHeight="1" x14ac:dyDescent="0.2">
      <c r="C65271"/>
      <c r="M65271"/>
    </row>
    <row r="65272" spans="3:13" ht="12.75" customHeight="1" x14ac:dyDescent="0.2">
      <c r="C65272"/>
      <c r="M65272"/>
    </row>
    <row r="65273" spans="3:13" ht="12.75" customHeight="1" x14ac:dyDescent="0.2">
      <c r="C65273"/>
      <c r="M65273"/>
    </row>
    <row r="65274" spans="3:13" ht="12.75" customHeight="1" x14ac:dyDescent="0.2">
      <c r="C65274"/>
      <c r="M65274"/>
    </row>
    <row r="65275" spans="3:13" ht="12.75" customHeight="1" x14ac:dyDescent="0.2">
      <c r="C65275"/>
      <c r="M65275"/>
    </row>
    <row r="65276" spans="3:13" ht="12.75" customHeight="1" x14ac:dyDescent="0.2">
      <c r="C65276"/>
      <c r="M65276"/>
    </row>
    <row r="65277" spans="3:13" ht="12.75" customHeight="1" x14ac:dyDescent="0.2">
      <c r="C65277"/>
      <c r="M65277"/>
    </row>
    <row r="65278" spans="3:13" ht="12.75" customHeight="1" x14ac:dyDescent="0.2">
      <c r="C65278"/>
      <c r="M65278"/>
    </row>
    <row r="65279" spans="3:13" ht="12.75" customHeight="1" x14ac:dyDescent="0.2">
      <c r="C65279"/>
      <c r="M65279"/>
    </row>
    <row r="65280" spans="3:13" ht="12.75" customHeight="1" x14ac:dyDescent="0.2">
      <c r="C65280"/>
      <c r="M65280"/>
    </row>
    <row r="65281" spans="3:13" ht="12.75" customHeight="1" x14ac:dyDescent="0.2">
      <c r="C65281"/>
      <c r="M65281"/>
    </row>
    <row r="65282" spans="3:13" ht="12.75" customHeight="1" x14ac:dyDescent="0.2">
      <c r="C65282"/>
      <c r="M65282"/>
    </row>
    <row r="65283" spans="3:13" ht="12.75" customHeight="1" x14ac:dyDescent="0.2">
      <c r="C65283"/>
      <c r="M65283"/>
    </row>
    <row r="65284" spans="3:13" ht="12.75" customHeight="1" x14ac:dyDescent="0.2">
      <c r="C65284"/>
      <c r="M65284"/>
    </row>
    <row r="65285" spans="3:13" ht="12.75" customHeight="1" x14ac:dyDescent="0.2">
      <c r="C65285"/>
      <c r="M65285"/>
    </row>
    <row r="65286" spans="3:13" ht="12.75" customHeight="1" x14ac:dyDescent="0.2">
      <c r="C65286"/>
      <c r="M65286"/>
    </row>
    <row r="65287" spans="3:13" ht="12.75" customHeight="1" x14ac:dyDescent="0.2">
      <c r="C65287"/>
      <c r="M65287"/>
    </row>
    <row r="65288" spans="3:13" ht="12.75" customHeight="1" x14ac:dyDescent="0.2">
      <c r="C65288"/>
      <c r="M65288"/>
    </row>
    <row r="65289" spans="3:13" ht="12.75" customHeight="1" x14ac:dyDescent="0.2">
      <c r="C65289"/>
      <c r="M65289"/>
    </row>
    <row r="65290" spans="3:13" ht="12.75" customHeight="1" x14ac:dyDescent="0.2">
      <c r="C65290"/>
      <c r="M65290"/>
    </row>
    <row r="65291" spans="3:13" ht="12.75" customHeight="1" x14ac:dyDescent="0.2">
      <c r="C65291"/>
      <c r="M65291"/>
    </row>
    <row r="65292" spans="3:13" ht="12.75" customHeight="1" x14ac:dyDescent="0.2">
      <c r="C65292"/>
      <c r="M65292"/>
    </row>
    <row r="65293" spans="3:13" ht="12.75" customHeight="1" x14ac:dyDescent="0.2">
      <c r="C65293"/>
      <c r="M65293"/>
    </row>
    <row r="65294" spans="3:13" ht="12.75" customHeight="1" x14ac:dyDescent="0.2">
      <c r="C65294"/>
      <c r="M65294"/>
    </row>
  </sheetData>
  <sheetProtection password="BD1F" sheet="1" objects="1" scenarios="1" autoFilter="0"/>
  <autoFilter ref="C15:C33"/>
  <mergeCells count="45">
    <mergeCell ref="AO1:AP1"/>
    <mergeCell ref="AO2:AP2"/>
    <mergeCell ref="AI4:AJ4"/>
    <mergeCell ref="AK4:AP4"/>
    <mergeCell ref="AI5:AJ5"/>
    <mergeCell ref="AK5:AP5"/>
    <mergeCell ref="AG1:AH1"/>
    <mergeCell ref="AG2:AH2"/>
    <mergeCell ref="AA4:AB4"/>
    <mergeCell ref="AC4:AH4"/>
    <mergeCell ref="AA5:AB5"/>
    <mergeCell ref="AC5:AH5"/>
    <mergeCell ref="F1:H1"/>
    <mergeCell ref="Q1:R1"/>
    <mergeCell ref="Y1:Z1"/>
    <mergeCell ref="F2:H2"/>
    <mergeCell ref="Q2:R2"/>
    <mergeCell ref="Y2:Z2"/>
    <mergeCell ref="E15:H15"/>
    <mergeCell ref="E4:F4"/>
    <mergeCell ref="G4:H4"/>
    <mergeCell ref="S4:T4"/>
    <mergeCell ref="U4:Z4"/>
    <mergeCell ref="E5:F5"/>
    <mergeCell ref="G5:H5"/>
    <mergeCell ref="S5:T5"/>
    <mergeCell ref="U5:Z5"/>
    <mergeCell ref="AW1:AX1"/>
    <mergeCell ref="AW2:AX2"/>
    <mergeCell ref="AQ4:AR4"/>
    <mergeCell ref="AS4:AX4"/>
    <mergeCell ref="AQ5:AR5"/>
    <mergeCell ref="AS5:AX5"/>
    <mergeCell ref="BE1:BF1"/>
    <mergeCell ref="BE2:BF2"/>
    <mergeCell ref="AY4:AZ4"/>
    <mergeCell ref="BA4:BF4"/>
    <mergeCell ref="AY5:AZ5"/>
    <mergeCell ref="BA5:BF5"/>
    <mergeCell ref="BM1:BN1"/>
    <mergeCell ref="BM2:BN2"/>
    <mergeCell ref="BG4:BH4"/>
    <mergeCell ref="BI4:BN4"/>
    <mergeCell ref="BG5:BH5"/>
    <mergeCell ref="BI5:BN5"/>
  </mergeCells>
  <phoneticPr fontId="40" type="noConversion"/>
  <conditionalFormatting sqref="D14:I14 D16:I19 D25:I26 I27">
    <cfRule type="expression" dxfId="205" priority="5097" stopIfTrue="1">
      <formula>$B14=1</formula>
    </cfRule>
    <cfRule type="expression" dxfId="204" priority="5098" stopIfTrue="1">
      <formula>OR($B14=0,$B14=2,$B14=3,$B14=4)</formula>
    </cfRule>
  </conditionalFormatting>
  <conditionalFormatting sqref="M33:N33 M12:N19 M25:N26">
    <cfRule type="expression" dxfId="203" priority="5099" stopIfTrue="1">
      <formula>ACOMPANHAMENTO="BM"</formula>
    </cfRule>
    <cfRule type="expression" dxfId="202" priority="5100" stopIfTrue="1">
      <formula>OR($B12=0,$B12=2,$B12=3,$B12=4)</formula>
    </cfRule>
    <cfRule type="expression" dxfId="201" priority="5101" stopIfTrue="1">
      <formula>$B12=1</formula>
    </cfRule>
  </conditionalFormatting>
  <conditionalFormatting sqref="K12:K19 K24:K27 K22 K33">
    <cfRule type="expression" dxfId="200" priority="5102" stopIfTrue="1">
      <formula>OR(ACOMPANHAMENTO="BM",$A$12&lt;&gt;"Manual")</formula>
    </cfRule>
    <cfRule type="expression" dxfId="199" priority="5103" stopIfTrue="1">
      <formula>$B12=1</formula>
    </cfRule>
    <cfRule type="expression" dxfId="198" priority="5104" stopIfTrue="1">
      <formula>OR($B12=2,$B12=3,$B12=4,$B12=0)</formula>
    </cfRule>
  </conditionalFormatting>
  <conditionalFormatting sqref="O12:BO19 O24:BO27 O22:BO22 O33:BO33">
    <cfRule type="expression" dxfId="197" priority="5105" stopIfTrue="1">
      <formula>ACOMPANHAMENTO="BM"</formula>
    </cfRule>
    <cfRule type="expression" dxfId="196" priority="5106" stopIfTrue="1">
      <formula>AND(O$12&lt;&gt;".",OR($B12=0,$B12=2,$B12=3,$B12=4,AND(O$12="",$B12&lt;&gt;"Empty"),OFFSET(O$12,0,-1)=""))</formula>
    </cfRule>
    <cfRule type="expression" dxfId="195" priority="5107" stopIfTrue="1">
      <formula>AND($B12=1,O$12&lt;&gt;".")</formula>
    </cfRule>
  </conditionalFormatting>
  <conditionalFormatting sqref="AP12:AU12">
    <cfRule type="expression" dxfId="194" priority="310" stopIfTrue="1">
      <formula>ACOMPANHAMENTO="BM"</formula>
    </cfRule>
    <cfRule type="expression" dxfId="193" priority="311" stopIfTrue="1">
      <formula>AND(AP$12&lt;&gt;".",OR($B12=0,$B12=2,$B12=3,$B12=4,AND(AP$12="",$B12&lt;&gt;"Empty"),OFFSET(AP$12,0,-1)=""))</formula>
    </cfRule>
    <cfRule type="expression" dxfId="192" priority="312" stopIfTrue="1">
      <formula>AND($B12=1,AP$12&lt;&gt;".")</formula>
    </cfRule>
  </conditionalFormatting>
  <conditionalFormatting sqref="AV12:AX12">
    <cfRule type="expression" dxfId="191" priority="304" stopIfTrue="1">
      <formula>ACOMPANHAMENTO="BM"</formula>
    </cfRule>
    <cfRule type="expression" dxfId="190" priority="305" stopIfTrue="1">
      <formula>AND(AV$12&lt;&gt;".",OR($B12=0,$B12=2,$B12=3,$B12=4,AND(AV$12="",$B12&lt;&gt;"Empty"),OFFSET(AV$12,0,-1)=""))</formula>
    </cfRule>
    <cfRule type="expression" dxfId="189" priority="306" stopIfTrue="1">
      <formula>AND($B12=1,AV$12&lt;&gt;".")</formula>
    </cfRule>
  </conditionalFormatting>
  <conditionalFormatting sqref="D27:H27">
    <cfRule type="expression" dxfId="188" priority="190" stopIfTrue="1">
      <formula>$B27=1</formula>
    </cfRule>
    <cfRule type="expression" dxfId="187" priority="191" stopIfTrue="1">
      <formula>OR($B27=0,$B27=2,$B27=3,$B27=4)</formula>
    </cfRule>
  </conditionalFormatting>
  <conditionalFormatting sqref="M27:N27">
    <cfRule type="expression" dxfId="186" priority="192" stopIfTrue="1">
      <formula>ACOMPANHAMENTO="BM"</formula>
    </cfRule>
    <cfRule type="expression" dxfId="185" priority="193" stopIfTrue="1">
      <formula>OR($B27=0,$B27=2,$B27=3,$B27=4)</formula>
    </cfRule>
    <cfRule type="expression" dxfId="184" priority="194" stopIfTrue="1">
      <formula>$B27=1</formula>
    </cfRule>
  </conditionalFormatting>
  <conditionalFormatting sqref="D22:I22">
    <cfRule type="expression" dxfId="183" priority="157" stopIfTrue="1">
      <formula>$B22=1</formula>
    </cfRule>
    <cfRule type="expression" dxfId="182" priority="158" stopIfTrue="1">
      <formula>OR($B22=0,$B22=2,$B22=3,$B22=4)</formula>
    </cfRule>
  </conditionalFormatting>
  <conditionalFormatting sqref="M22:N22">
    <cfRule type="expression" dxfId="181" priority="159" stopIfTrue="1">
      <formula>ACOMPANHAMENTO="BM"</formula>
    </cfRule>
    <cfRule type="expression" dxfId="180" priority="160" stopIfTrue="1">
      <formula>OR($B22=0,$B22=2,$B22=3,$B22=4)</formula>
    </cfRule>
    <cfRule type="expression" dxfId="179" priority="161" stopIfTrue="1">
      <formula>$B22=1</formula>
    </cfRule>
  </conditionalFormatting>
  <conditionalFormatting sqref="D24:H24">
    <cfRule type="expression" dxfId="178" priority="135" stopIfTrue="1">
      <formula>$B24=1</formula>
    </cfRule>
    <cfRule type="expression" dxfId="177" priority="136" stopIfTrue="1">
      <formula>OR($B24=0,$B24=2,$B24=3,$B24=4)</formula>
    </cfRule>
  </conditionalFormatting>
  <conditionalFormatting sqref="M24:N24">
    <cfRule type="expression" dxfId="176" priority="137" stopIfTrue="1">
      <formula>ACOMPANHAMENTO="BM"</formula>
    </cfRule>
    <cfRule type="expression" dxfId="175" priority="138" stopIfTrue="1">
      <formula>OR($B24=0,$B24=2,$B24=3,$B24=4)</formula>
    </cfRule>
    <cfRule type="expression" dxfId="174" priority="139" stopIfTrue="1">
      <formula>$B24=1</formula>
    </cfRule>
  </conditionalFormatting>
  <conditionalFormatting sqref="I24">
    <cfRule type="expression" dxfId="173" priority="45" stopIfTrue="1">
      <formula>$B24=1</formula>
    </cfRule>
    <cfRule type="expression" dxfId="172" priority="46" stopIfTrue="1">
      <formula>OR($B24=0,$B24=2,$B24=3,$B24=4)</formula>
    </cfRule>
  </conditionalFormatting>
  <conditionalFormatting sqref="D23:I23">
    <cfRule type="expression" dxfId="171" priority="23" stopIfTrue="1">
      <formula>$B23=1</formula>
    </cfRule>
    <cfRule type="expression" dxfId="170" priority="24" stopIfTrue="1">
      <formula>OR($B23=0,$B23=2,$B23=3,$B23=4)</formula>
    </cfRule>
  </conditionalFormatting>
  <conditionalFormatting sqref="M23:N23">
    <cfRule type="expression" dxfId="169" priority="25" stopIfTrue="1">
      <formula>ACOMPANHAMENTO="BM"</formula>
    </cfRule>
    <cfRule type="expression" dxfId="168" priority="26" stopIfTrue="1">
      <formula>OR($B23=0,$B23=2,$B23=3,$B23=4)</formula>
    </cfRule>
    <cfRule type="expression" dxfId="167" priority="27" stopIfTrue="1">
      <formula>$B23=1</formula>
    </cfRule>
  </conditionalFormatting>
  <conditionalFormatting sqref="K23">
    <cfRule type="expression" dxfId="166" priority="28" stopIfTrue="1">
      <formula>OR(ACOMPANHAMENTO="BM",$A$12&lt;&gt;"Manual")</formula>
    </cfRule>
    <cfRule type="expression" dxfId="165" priority="29" stopIfTrue="1">
      <formula>$B23=1</formula>
    </cfRule>
    <cfRule type="expression" dxfId="164" priority="30" stopIfTrue="1">
      <formula>OR($B23=2,$B23=3,$B23=4,$B23=0)</formula>
    </cfRule>
  </conditionalFormatting>
  <conditionalFormatting sqref="O23:BO23">
    <cfRule type="expression" dxfId="163" priority="31" stopIfTrue="1">
      <formula>ACOMPANHAMENTO="BM"</formula>
    </cfRule>
    <cfRule type="expression" dxfId="162" priority="32" stopIfTrue="1">
      <formula>AND(O$12&lt;&gt;".",OR($B23=0,$B23=2,$B23=3,$B23=4,AND(O$12="",$B23&lt;&gt;"Empty"),OFFSET(O$12,0,-1)=""))</formula>
    </cfRule>
    <cfRule type="expression" dxfId="161" priority="33" stopIfTrue="1">
      <formula>AND($B23=1,O$12&lt;&gt;".")</formula>
    </cfRule>
  </conditionalFormatting>
  <conditionalFormatting sqref="D20:I21">
    <cfRule type="expression" dxfId="160" priority="12" stopIfTrue="1">
      <formula>$B20=1</formula>
    </cfRule>
    <cfRule type="expression" dxfId="159" priority="13" stopIfTrue="1">
      <formula>OR($B20=0,$B20=2,$B20=3,$B20=4)</formula>
    </cfRule>
  </conditionalFormatting>
  <conditionalFormatting sqref="M20:N21">
    <cfRule type="expression" dxfId="158" priority="14" stopIfTrue="1">
      <formula>ACOMPANHAMENTO="BM"</formula>
    </cfRule>
    <cfRule type="expression" dxfId="157" priority="15" stopIfTrue="1">
      <formula>OR($B20=0,$B20=2,$B20=3,$B20=4)</formula>
    </cfRule>
    <cfRule type="expression" dxfId="156" priority="16" stopIfTrue="1">
      <formula>$B20=1</formula>
    </cfRule>
  </conditionalFormatting>
  <conditionalFormatting sqref="K20:K21">
    <cfRule type="expression" dxfId="155" priority="17" stopIfTrue="1">
      <formula>OR(ACOMPANHAMENTO="BM",$A$12&lt;&gt;"Manual")</formula>
    </cfRule>
    <cfRule type="expression" dxfId="154" priority="18" stopIfTrue="1">
      <formula>$B20=1</formula>
    </cfRule>
    <cfRule type="expression" dxfId="153" priority="19" stopIfTrue="1">
      <formula>OR($B20=2,$B20=3,$B20=4,$B20=0)</formula>
    </cfRule>
  </conditionalFormatting>
  <conditionalFormatting sqref="O20:BO21">
    <cfRule type="expression" dxfId="152" priority="20" stopIfTrue="1">
      <formula>ACOMPANHAMENTO="BM"</formula>
    </cfRule>
    <cfRule type="expression" dxfId="151" priority="21" stopIfTrue="1">
      <formula>AND(O$12&lt;&gt;".",OR($B20=0,$B20=2,$B20=3,$B20=4,AND(O$12="",$B20&lt;&gt;"Empty"),OFFSET(O$12,0,-1)=""))</formula>
    </cfRule>
    <cfRule type="expression" dxfId="150" priority="22" stopIfTrue="1">
      <formula>AND($B20=1,O$12&lt;&gt;".")</formula>
    </cfRule>
  </conditionalFormatting>
  <conditionalFormatting sqref="D28:I32">
    <cfRule type="expression" dxfId="149" priority="1" stopIfTrue="1">
      <formula>$B28=1</formula>
    </cfRule>
    <cfRule type="expression" dxfId="148" priority="2" stopIfTrue="1">
      <formula>OR($B28=0,$B28=2,$B28=3,$B28=4)</formula>
    </cfRule>
  </conditionalFormatting>
  <conditionalFormatting sqref="M28:N32">
    <cfRule type="expression" dxfId="147" priority="3" stopIfTrue="1">
      <formula>ACOMPANHAMENTO="BM"</formula>
    </cfRule>
    <cfRule type="expression" dxfId="146" priority="4" stopIfTrue="1">
      <formula>OR($B28=0,$B28=2,$B28=3,$B28=4)</formula>
    </cfRule>
    <cfRule type="expression" dxfId="145" priority="5" stopIfTrue="1">
      <formula>$B28=1</formula>
    </cfRule>
  </conditionalFormatting>
  <conditionalFormatting sqref="K28:K32">
    <cfRule type="expression" dxfId="144" priority="6" stopIfTrue="1">
      <formula>OR(ACOMPANHAMENTO="BM",$A$12&lt;&gt;"Manual")</formula>
    </cfRule>
    <cfRule type="expression" dxfId="143" priority="7" stopIfTrue="1">
      <formula>$B28=1</formula>
    </cfRule>
    <cfRule type="expression" dxfId="142" priority="8" stopIfTrue="1">
      <formula>OR($B28=2,$B28=3,$B28=4,$B28=0)</formula>
    </cfRule>
  </conditionalFormatting>
  <conditionalFormatting sqref="O28:BO32">
    <cfRule type="expression" dxfId="141" priority="9" stopIfTrue="1">
      <formula>ACOMPANHAMENTO="BM"</formula>
    </cfRule>
    <cfRule type="expression" dxfId="140" priority="10" stopIfTrue="1">
      <formula>AND(O$12&lt;&gt;".",OR($B28=0,$B28=2,$B28=3,$B28=4,AND(O$12="",$B28&lt;&gt;"Empty"),OFFSET(O$12,0,-1)=""))</formula>
    </cfRule>
    <cfRule type="expression" dxfId="139" priority="11" stopIfTrue="1">
      <formula>AND($B28=1,O$12&lt;&gt;".")</formula>
    </cfRule>
  </conditionalFormatting>
  <dataValidations xWindow="921" yWindow="359" count="4">
    <dataValidation type="decimal" operator="greaterThan" allowBlank="1" showErrorMessage="1" error="Apenas números decimais maiores que zero." sqref="O14 Q14:BN14 Q16:BN32 O16:O32">
      <formula1>0</formula1>
      <formula2>0</formula2>
    </dataValidation>
    <dataValidation type="list" allowBlank="1" showErrorMessage="1" sqref="K14 K16:K32">
      <formula1>EVENTOS.ListaValidacao</formula1>
      <formula2>0</formula2>
    </dataValidation>
    <dataValidation allowBlank="1" showInputMessage="1" showErrorMessage="1" prompt="A quantidade é digitada nas colunas Q em diante, após preencher o nome das frentes de obra na célula Q12 em diante" sqref="H14 H16:H32"/>
    <dataValidation allowBlank="1" showInputMessage="1" showErrorMessage="1" prompt="A frente de obra é uma porção física da obra. Exemplos: Única; Rua A; Rua B; Trecho 01; Trecho 02; 1º Andar; 2º Andar; Copa; Banheiro" sqref="Q12"/>
  </dataValidations>
  <printOptions horizontalCentered="1"/>
  <pageMargins left="0.78740157480314965" right="0.78740157480314965" top="0.78740157480314965" bottom="0.78740157480314965" header="0.59055118110236227" footer="0.59055118110236227"/>
  <pageSetup paperSize="9" scale="57" firstPageNumber="0" fitToWidth="0" fitToHeight="0" orientation="landscape" r:id="rId1"/>
  <headerFooter alignWithMargins="0">
    <oddHeader>&amp;C&amp;14I</oddHeader>
    <oddFooter>&amp;LPMv3.0.4&amp;R&amp;P / &amp;N</oddFooter>
  </headerFooter>
  <colBreaks count="1" manualBreakCount="1">
    <brk id="67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8">
    <pageSetUpPr fitToPage="1"/>
  </sheetPr>
  <dimension ref="B2:F21"/>
  <sheetViews>
    <sheetView showGridLines="0" zoomScale="90" zoomScaleNormal="90" workbookViewId="0">
      <pane ySplit="14" topLeftCell="A15" activePane="bottomLeft" state="frozen"/>
      <selection pane="bottomLeft" activeCell="C6" sqref="C6:F6"/>
    </sheetView>
  </sheetViews>
  <sheetFormatPr defaultRowHeight="12.75" x14ac:dyDescent="0.2"/>
  <cols>
    <col min="2" max="2" width="0" hidden="1" customWidth="1"/>
    <col min="3" max="3" width="12.7109375" customWidth="1"/>
    <col min="4" max="4" width="30.7109375" customWidth="1"/>
    <col min="6" max="6" width="25.7109375" customWidth="1"/>
  </cols>
  <sheetData>
    <row r="2" spans="2:6" ht="15.75" x14ac:dyDescent="0.2">
      <c r="C2" s="98" t="s">
        <v>266</v>
      </c>
    </row>
    <row r="4" spans="2:6" x14ac:dyDescent="0.2">
      <c r="C4" t="s">
        <v>267</v>
      </c>
    </row>
    <row r="6" spans="2:6" x14ac:dyDescent="0.2">
      <c r="C6" s="719" t="s">
        <v>488</v>
      </c>
      <c r="D6" s="719"/>
      <c r="E6" s="719"/>
      <c r="F6" s="719"/>
    </row>
    <row r="8" spans="2:6" ht="33.75" customHeight="1" x14ac:dyDescent="0.2"/>
    <row r="9" spans="2:6" ht="12" customHeight="1" x14ac:dyDescent="0.2">
      <c r="C9" s="720" t="str">
        <f>IF(ACOMPANHAMENTO="BM","Foi selecionado na aba 'MENU' o acompanhamento por BM. Não há necessidade de definição de Eventos.","")</f>
        <v/>
      </c>
      <c r="D9" s="720"/>
      <c r="E9" s="720"/>
      <c r="F9" s="720"/>
    </row>
    <row r="10" spans="2:6" ht="12" customHeight="1" x14ac:dyDescent="0.2">
      <c r="C10" s="720"/>
      <c r="D10" s="720"/>
      <c r="E10" s="720"/>
      <c r="F10" s="720"/>
    </row>
    <row r="11" spans="2:6" ht="12" customHeight="1" x14ac:dyDescent="0.2">
      <c r="C11" s="720"/>
      <c r="D11" s="720"/>
      <c r="E11" s="720"/>
      <c r="F11" s="720"/>
    </row>
    <row r="12" spans="2:6" ht="12" customHeight="1" x14ac:dyDescent="0.2"/>
    <row r="13" spans="2:6" ht="15" x14ac:dyDescent="0.25">
      <c r="C13" s="226" t="s">
        <v>268</v>
      </c>
      <c r="D13" s="721" t="s">
        <v>269</v>
      </c>
      <c r="E13" s="721"/>
      <c r="F13" s="227" t="s">
        <v>270</v>
      </c>
    </row>
    <row r="14" spans="2:6" hidden="1" x14ac:dyDescent="0.2">
      <c r="B14" t="e">
        <f t="shared" ref="B14:B20" ca="1" si="0">CONCATENATE(C14,".",D14)</f>
        <v>#VALUE!</v>
      </c>
      <c r="C14" s="228" t="e">
        <f ca="1">OFFSET(C14,-1,0)+1</f>
        <v>#VALUE!</v>
      </c>
      <c r="D14" s="718"/>
      <c r="E14" s="718"/>
      <c r="F14" s="229">
        <f ca="1">IF(AUTOEVENTO="Manual",ROUND(SUMPRODUCT((CÁLCULO!$M$15:$M$33=EVENTOS!$C14)*(OFFSET(CÁLCULO!$BO$15,0,1):OFFSET(CÁLCULO!$DN$33,0,-1))),2),0)</f>
        <v>0</v>
      </c>
    </row>
    <row r="15" spans="2:6" x14ac:dyDescent="0.2">
      <c r="B15" t="str">
        <f t="shared" si="0"/>
        <v>1.Administração Local</v>
      </c>
      <c r="C15" s="230">
        <v>1</v>
      </c>
      <c r="D15" s="722" t="s">
        <v>271</v>
      </c>
      <c r="E15" s="722"/>
      <c r="F15" s="231">
        <f ca="1">IF(AUTOEVENTO="Manual",ROUND(SUMIF(CÁLCULO!$M$15:$M$33,1,ORÇAMENTO!$X$15:$X$33),2),0)</f>
        <v>0</v>
      </c>
    </row>
    <row r="16" spans="2:6" x14ac:dyDescent="0.2">
      <c r="B16" t="str">
        <f t="shared" ca="1" si="0"/>
        <v>2.SERVIÇOS PRELIMINARES</v>
      </c>
      <c r="C16" s="228">
        <f ca="1">OFFSET(C16,-1,0)+1</f>
        <v>2</v>
      </c>
      <c r="D16" s="718" t="s">
        <v>440</v>
      </c>
      <c r="E16" s="718"/>
      <c r="F16" s="229">
        <f ca="1">IF(AUTOEVENTO="Manual",ROUND(SUMPRODUCT((CÁLCULO!$M$15:$M$33=EVENTOS!$C16)*(OFFSET(CÁLCULO!$BO$15,0,1):OFFSET(CÁLCULO!$DN$33,0,-1))),2),0)</f>
        <v>0</v>
      </c>
    </row>
    <row r="17" spans="2:6" x14ac:dyDescent="0.2">
      <c r="B17" t="str">
        <f t="shared" ca="1" si="0"/>
        <v>3.PAVIMENTAÇÃO DE VIAS</v>
      </c>
      <c r="C17" s="228">
        <f ca="1">OFFSET(C17,-1,0)+1</f>
        <v>3</v>
      </c>
      <c r="D17" s="718" t="s">
        <v>452</v>
      </c>
      <c r="E17" s="718"/>
      <c r="F17" s="229">
        <f ca="1">IF(AUTOEVENTO="Manual",ROUND(SUMPRODUCT((CÁLCULO!$M$15:$M$33=EVENTOS!$C17)*(OFFSET(CÁLCULO!$BO$15,0,1):OFFSET(CÁLCULO!$DN$33,0,-1))),2),0)</f>
        <v>0</v>
      </c>
    </row>
    <row r="18" spans="2:6" x14ac:dyDescent="0.2">
      <c r="B18" t="str">
        <f t="shared" ca="1" si="0"/>
        <v>4.DRENAGEM SUPERFICIAL</v>
      </c>
      <c r="C18" s="228">
        <f ca="1">OFFSET(C18,-1,0)+1</f>
        <v>4</v>
      </c>
      <c r="D18" s="718" t="s">
        <v>453</v>
      </c>
      <c r="E18" s="718"/>
      <c r="F18" s="229">
        <f ca="1">IF(AUTOEVENTO="Manual",ROUND(SUMPRODUCT((CÁLCULO!$M$15:$M$33=EVENTOS!$C18)*(OFFSET(CÁLCULO!$BO$15,0,1):OFFSET(CÁLCULO!$DN$33,0,-1))),2),0)</f>
        <v>0</v>
      </c>
    </row>
    <row r="19" spans="2:6" x14ac:dyDescent="0.2">
      <c r="B19" t="str">
        <f t="shared" ca="1" si="0"/>
        <v>5.</v>
      </c>
      <c r="C19" s="228">
        <f ca="1">OFFSET(C19,-1,0)+1</f>
        <v>5</v>
      </c>
      <c r="D19" s="718"/>
      <c r="E19" s="718"/>
      <c r="F19" s="229">
        <f ca="1">IF(AUTOEVENTO="Manual",ROUND(SUMPRODUCT((CÁLCULO!$M$15:$M$33=EVENTOS!$C19)*(OFFSET(CÁLCULO!$BO$15,0,1):OFFSET(CÁLCULO!$DN$33,0,-1))),2),0)</f>
        <v>0</v>
      </c>
    </row>
    <row r="20" spans="2:6" x14ac:dyDescent="0.2">
      <c r="B20" t="str">
        <f t="shared" ca="1" si="0"/>
        <v>6.</v>
      </c>
      <c r="C20" s="228">
        <f ca="1">OFFSET(C20,-1,0)+1</f>
        <v>6</v>
      </c>
      <c r="D20" s="718"/>
      <c r="E20" s="718"/>
      <c r="F20" s="229">
        <f ca="1">IF(AUTOEVENTO="Manual",ROUND(SUMPRODUCT((CÁLCULO!$M$15:$M$33=EVENTOS!$C20)*(OFFSET(CÁLCULO!$BO$15,0,1):OFFSET(CÁLCULO!$DN$33,0,-1))),2),0)</f>
        <v>0</v>
      </c>
    </row>
    <row r="21" spans="2:6" ht="5.0999999999999996" customHeight="1" x14ac:dyDescent="0.2">
      <c r="C21" s="221"/>
      <c r="D21" s="232"/>
      <c r="E21" s="232"/>
      <c r="F21" s="233"/>
    </row>
  </sheetData>
  <sheetProtection password="BD1F" sheet="1" objects="1" scenarios="1"/>
  <mergeCells count="10">
    <mergeCell ref="D17:E17"/>
    <mergeCell ref="D18:E18"/>
    <mergeCell ref="D19:E19"/>
    <mergeCell ref="D20:E20"/>
    <mergeCell ref="D16:E16"/>
    <mergeCell ref="C6:F6"/>
    <mergeCell ref="C9:F11"/>
    <mergeCell ref="D13:E13"/>
    <mergeCell ref="D14:E14"/>
    <mergeCell ref="D15:E15"/>
  </mergeCells>
  <phoneticPr fontId="40" type="noConversion"/>
  <conditionalFormatting sqref="C13:F15 C21:F21">
    <cfRule type="expression" dxfId="138" priority="107" stopIfTrue="1">
      <formula>OR(AUTOEVENTO&lt;&gt;"Manual",ACOMPANHAMENTO="BM")</formula>
    </cfRule>
  </conditionalFormatting>
  <conditionalFormatting sqref="C16:F16">
    <cfRule type="expression" dxfId="137" priority="5" stopIfTrue="1">
      <formula>OR(AUTOEVENTO&lt;&gt;"Manual",ACOMPANHAMENTO="BM")</formula>
    </cfRule>
  </conditionalFormatting>
  <conditionalFormatting sqref="C17:F17">
    <cfRule type="expression" dxfId="136" priority="4" stopIfTrue="1">
      <formula>OR(AUTOEVENTO&lt;&gt;"Manual",ACOMPANHAMENTO="BM")</formula>
    </cfRule>
  </conditionalFormatting>
  <conditionalFormatting sqref="C18:F18">
    <cfRule type="expression" dxfId="135" priority="3" stopIfTrue="1">
      <formula>OR(AUTOEVENTO&lt;&gt;"Manual",ACOMPANHAMENTO="BM")</formula>
    </cfRule>
  </conditionalFormatting>
  <conditionalFormatting sqref="C19:F19">
    <cfRule type="expression" dxfId="134" priority="2" stopIfTrue="1">
      <formula>OR(AUTOEVENTO&lt;&gt;"Manual",ACOMPANHAMENTO="BM")</formula>
    </cfRule>
  </conditionalFormatting>
  <conditionalFormatting sqref="C20:F20">
    <cfRule type="expression" dxfId="133" priority="1" stopIfTrue="1">
      <formula>OR(AUTOEVENTO&lt;&gt;"Manual",ACOMPANHAMENTO="BM")</formula>
    </cfRule>
  </conditionalFormatting>
  <dataValidations count="1">
    <dataValidation type="list" allowBlank="1" showErrorMessage="1" sqref="C6">
      <mc:AlternateContent xmlns:x12ac="http://schemas.microsoft.com/office/spreadsheetml/2011/1/ac" xmlns:mc="http://schemas.openxmlformats.org/markup-compatibility/2006">
        <mc:Choice Requires="x12ac">
          <x12ac:list>"Automática, conforme os agrupadores Nível 2 do Orçamento","Automática, conforme os agrupadores Nível 3 do Orçamento","Automática, conforme os agrupadores Nível 4 do Orçamento",Definir Manualmente</x12ac:list>
        </mc:Choice>
        <mc:Fallback>
          <formula1>"Automática, conforme os agrupadores Nível 2 do Orçamento,Automática, conforme os agrupadores Nível 3 do Orçamento,Automática, conforme os agrupadores Nível 4 do Orçamento,Definir Manualmente"</formula1>
        </mc:Fallback>
      </mc:AlternateContent>
      <formula2>0</formula2>
    </dataValidation>
  </dataValidations>
  <pageMargins left="0.78740157480314965" right="0.78740157480314965" top="0.78740157480314965" bottom="0.78740157480314965" header="5.7086614173228352" footer="0.59055118110236227"/>
  <pageSetup paperSize="9" scale="90" firstPageNumber="0" orientation="portrait" horizontalDpi="300" verticalDpi="300" r:id="rId1"/>
  <headerFooter alignWithMargins="0">
    <oddHeader>&amp;L_</oddHeader>
    <oddFooter>&amp;LPMv3.0.4&amp;R&amp;P / 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1"/>
  <dimension ref="A1:BF36"/>
  <sheetViews>
    <sheetView showGridLines="0" zoomScale="90" zoomScaleNormal="90" zoomScaleSheetLayoutView="100" workbookViewId="0">
      <pane xSplit="4" ySplit="13" topLeftCell="E14" activePane="bottomRight" state="frozen"/>
      <selection pane="topRight" activeCell="E1" sqref="E1"/>
      <selection pane="bottomLeft" activeCell="A13" sqref="A13"/>
      <selection pane="bottomRight" activeCell="L10" sqref="L10"/>
    </sheetView>
  </sheetViews>
  <sheetFormatPr defaultRowHeight="12.75" x14ac:dyDescent="0.2"/>
  <cols>
    <col min="1" max="1" width="3.85546875" customWidth="1"/>
    <col min="2" max="2" width="8.140625" customWidth="1"/>
    <col min="3" max="3" width="17" customWidth="1"/>
    <col min="4" max="4" width="19.85546875" customWidth="1"/>
    <col min="5" max="5" width="1.42578125" customWidth="1"/>
    <col min="6" max="7" width="0" hidden="1" customWidth="1"/>
    <col min="8" max="57" width="5.7109375" customWidth="1"/>
    <col min="58" max="58" width="0.140625" customWidth="1"/>
  </cols>
  <sheetData>
    <row r="1" spans="1:58" hidden="1" x14ac:dyDescent="0.2">
      <c r="A1" s="9" t="e">
        <f ca="1">IF(AUTOEVENTO="Manual",IF(OFFSET(EVENTOS!$F$14,PLE!$B1,0)&gt;0,"F",""),IF(PLE!B1&lt;=MAX(CÁLCULO!$M$15:$M$33),"F",""))</f>
        <v>#REF!</v>
      </c>
      <c r="B1" s="322" t="e">
        <f ca="1">OFFSET(B1,-1,0)+1</f>
        <v>#REF!</v>
      </c>
      <c r="C1" s="723" t="e">
        <f ca="1">IF(AUTOEVENTO="Manual",IF($B1&lt;&gt;1,OFFSET(EVENTOS!$D$14,$B1,0),0),IF(B1&lt;=MAX(CÁLCULO!$M$15:$M$33),VLOOKUP($B1,CÁLCULO!$M$15:$N$33,2,FALSE),0))</f>
        <v>#REF!</v>
      </c>
      <c r="D1" s="723"/>
      <c r="F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  <c r="AD1" s="324"/>
      <c r="AE1" s="324"/>
      <c r="AF1" s="324"/>
      <c r="AG1" s="324"/>
      <c r="AH1" s="324"/>
      <c r="AI1" s="324"/>
      <c r="AJ1" s="324"/>
      <c r="AK1" s="324"/>
      <c r="AL1" s="324"/>
      <c r="AM1" s="324"/>
      <c r="AN1" s="324"/>
      <c r="AO1" s="324"/>
      <c r="AP1" s="324"/>
      <c r="AQ1" s="324"/>
      <c r="AR1" s="324"/>
      <c r="AS1" s="324"/>
      <c r="AT1" s="324"/>
      <c r="AU1" s="324"/>
      <c r="AV1" s="324"/>
      <c r="AW1" s="324"/>
      <c r="AX1" s="324"/>
      <c r="AY1" s="324"/>
      <c r="AZ1" s="324"/>
      <c r="BA1" s="324"/>
      <c r="BB1" s="324"/>
      <c r="BC1" s="324"/>
      <c r="BD1" s="324"/>
      <c r="BE1" s="324"/>
    </row>
    <row r="2" spans="1:58" hidden="1" x14ac:dyDescent="0.2">
      <c r="A2" s="9"/>
      <c r="B2" s="605"/>
      <c r="C2" s="606"/>
      <c r="D2" s="606"/>
      <c r="F2" s="607"/>
    </row>
    <row r="3" spans="1:58" ht="15.75" x14ac:dyDescent="0.25">
      <c r="H3" s="259" t="s">
        <v>295</v>
      </c>
      <c r="AD3" s="699" t="s">
        <v>141</v>
      </c>
      <c r="AE3" s="699"/>
      <c r="AF3" s="699"/>
      <c r="AG3" s="259" t="s">
        <v>295</v>
      </c>
      <c r="BC3" s="699" t="s">
        <v>141</v>
      </c>
      <c r="BD3" s="699"/>
      <c r="BE3" s="699"/>
    </row>
    <row r="4" spans="1:58" ht="15.75" x14ac:dyDescent="0.2">
      <c r="B4" s="98"/>
      <c r="C4" s="98"/>
      <c r="H4" s="102" t="str">
        <f>import.recurso</f>
        <v>OGU</v>
      </c>
      <c r="AD4" s="700" t="s">
        <v>144</v>
      </c>
      <c r="AE4" s="700"/>
      <c r="AF4" s="700"/>
      <c r="AG4" s="102" t="str">
        <f>import.recurso</f>
        <v>OGU</v>
      </c>
      <c r="BC4" s="700" t="s">
        <v>144</v>
      </c>
      <c r="BD4" s="700"/>
      <c r="BE4" s="700"/>
    </row>
    <row r="6" spans="1:58" x14ac:dyDescent="0.2">
      <c r="B6" s="263" t="s">
        <v>147</v>
      </c>
      <c r="C6" s="339"/>
      <c r="D6" s="265" t="s">
        <v>148</v>
      </c>
      <c r="E6" s="55"/>
      <c r="H6" s="266" t="s">
        <v>274</v>
      </c>
      <c r="I6" s="260"/>
      <c r="J6" s="260"/>
      <c r="K6" s="260"/>
      <c r="L6" s="261"/>
      <c r="M6" s="261"/>
      <c r="N6" s="340"/>
      <c r="O6" s="263" t="s">
        <v>275</v>
      </c>
      <c r="P6" s="267"/>
      <c r="Q6" s="96"/>
      <c r="R6" s="260"/>
      <c r="S6" s="260"/>
      <c r="T6" s="260"/>
      <c r="U6" s="264"/>
      <c r="V6" s="263" t="str">
        <f>IF(TIPOORCAMENTO="Licitado","NOME DA EMPRESA","DESCRIÇÃO DO LOTE")</f>
        <v>DESCRIÇÃO DO LOTE</v>
      </c>
      <c r="W6" s="260"/>
      <c r="X6" s="260"/>
      <c r="Y6" s="260"/>
      <c r="Z6" s="96"/>
      <c r="AA6" s="96"/>
      <c r="AB6" s="96"/>
      <c r="AC6" s="96"/>
      <c r="AD6" s="55"/>
      <c r="AE6" s="746" t="str">
        <f>IF(TIPOORCAMENTO="Licitado","Nº CTEF","")</f>
        <v/>
      </c>
      <c r="AF6" s="746"/>
      <c r="AG6" s="266" t="s">
        <v>274</v>
      </c>
      <c r="AH6" s="260"/>
      <c r="AI6" s="260"/>
      <c r="AJ6" s="260"/>
      <c r="AK6" s="261"/>
      <c r="AL6" s="261"/>
      <c r="AM6" s="340"/>
      <c r="AN6" s="263" t="s">
        <v>275</v>
      </c>
      <c r="AO6" s="267"/>
      <c r="AP6" s="96"/>
      <c r="AQ6" s="260"/>
      <c r="AR6" s="260"/>
      <c r="AS6" s="260"/>
      <c r="AT6" s="264"/>
      <c r="AU6" s="263" t="str">
        <f>IF(TIPOORCAMENTO="Licitado","NOME DA EMPRESA","DESCRIÇÃO DO LOTE")</f>
        <v>DESCRIÇÃO DO LOTE</v>
      </c>
      <c r="AV6" s="260"/>
      <c r="AW6" s="260"/>
      <c r="AX6" s="260"/>
      <c r="AY6" s="96"/>
      <c r="AZ6" s="96"/>
      <c r="BA6" s="96"/>
      <c r="BB6" s="96"/>
      <c r="BC6" s="55"/>
      <c r="BD6" s="746" t="str">
        <f>IF(TIPOORCAMENTO="Licitado","Nº CTEF","")</f>
        <v/>
      </c>
      <c r="BE6" s="746"/>
    </row>
    <row r="7" spans="1:58" x14ac:dyDescent="0.2">
      <c r="B7" s="739" t="str">
        <f>Import.CR</f>
        <v>1090.502-01/2023</v>
      </c>
      <c r="C7" s="739"/>
      <c r="D7" s="269" t="str">
        <f>Import.SICONV</f>
        <v>950338/2023</v>
      </c>
      <c r="E7" s="50"/>
      <c r="H7" s="747" t="str">
        <f>Import.Proponente</f>
        <v>PREFEITURA MUNICIPAL DE CONCEIÇÃO DOS OUROS</v>
      </c>
      <c r="I7" s="747"/>
      <c r="J7" s="747"/>
      <c r="K7" s="747"/>
      <c r="L7" s="747"/>
      <c r="M7" s="747"/>
      <c r="N7" s="747"/>
      <c r="O7" s="739" t="str">
        <f>Import.Apelido</f>
        <v>Adequação de Estradas Vicinais</v>
      </c>
      <c r="P7" s="739"/>
      <c r="Q7" s="739"/>
      <c r="R7" s="739"/>
      <c r="S7" s="739"/>
      <c r="T7" s="739"/>
      <c r="U7" s="739"/>
      <c r="V7" s="739" t="str">
        <f>IF(TIPOORCAMENTO="Licitado",Import.empresa,Import.DescLote)</f>
        <v>Adequação de Estradas Vicinais</v>
      </c>
      <c r="W7" s="739"/>
      <c r="X7" s="739"/>
      <c r="Y7" s="739"/>
      <c r="Z7" s="739"/>
      <c r="AA7" s="739"/>
      <c r="AB7" s="739"/>
      <c r="AC7" s="739"/>
      <c r="AD7" s="739"/>
      <c r="AE7" s="737" t="str">
        <f>IF(TIPOORCAMENTO="Licitado",Import.CTEF,"")</f>
        <v/>
      </c>
      <c r="AF7" s="737"/>
      <c r="AG7" s="747" t="str">
        <f>Import.Proponente</f>
        <v>PREFEITURA MUNICIPAL DE CONCEIÇÃO DOS OUROS</v>
      </c>
      <c r="AH7" s="747"/>
      <c r="AI7" s="747"/>
      <c r="AJ7" s="747"/>
      <c r="AK7" s="747"/>
      <c r="AL7" s="747"/>
      <c r="AM7" s="747"/>
      <c r="AN7" s="739" t="str">
        <f>Import.Apelido</f>
        <v>Adequação de Estradas Vicinais</v>
      </c>
      <c r="AO7" s="739"/>
      <c r="AP7" s="739"/>
      <c r="AQ7" s="739"/>
      <c r="AR7" s="739"/>
      <c r="AS7" s="739"/>
      <c r="AT7" s="739"/>
      <c r="AU7" s="739" t="str">
        <f>IF(TIPOORCAMENTO="Licitado",Import.empresa,Import.DescLote)</f>
        <v>Adequação de Estradas Vicinais</v>
      </c>
      <c r="AV7" s="739"/>
      <c r="AW7" s="739"/>
      <c r="AX7" s="739"/>
      <c r="AY7" s="739"/>
      <c r="AZ7" s="739"/>
      <c r="BA7" s="739"/>
      <c r="BB7" s="739"/>
      <c r="BC7" s="739"/>
      <c r="BD7" s="737" t="str">
        <f>IF(TIPOORCAMENTO="Licitado",Import.CTEF,"")</f>
        <v/>
      </c>
      <c r="BE7" s="737"/>
      <c r="BF7" s="341"/>
    </row>
    <row r="8" spans="1:58" x14ac:dyDescent="0.2">
      <c r="BF8" s="96"/>
    </row>
    <row r="9" spans="1:58" ht="15.75" x14ac:dyDescent="0.25">
      <c r="A9" s="523">
        <v>0</v>
      </c>
      <c r="B9" s="342"/>
      <c r="C9" s="342"/>
      <c r="I9" s="343" t="s">
        <v>296</v>
      </c>
      <c r="J9" s="741">
        <v>1</v>
      </c>
      <c r="K9" s="741"/>
      <c r="M9" s="343" t="s">
        <v>285</v>
      </c>
      <c r="N9" s="742" t="str">
        <f ca="1">TEXT(IF(PLE.Medicao=1,Import.DataInicioObra,OFFSET($H$24,0,1+(PLE.Medicao-$I$25)*2-2)+1),"dd/mm/aaaa")&amp;" a "&amp;TEXT(OFFSET($H$24,0,1+(PLE.Medicao-$I$25)*2),"dd/mm/aaaa")</f>
        <v>00/01/1900 a 00/01/1900</v>
      </c>
      <c r="O9" s="742"/>
      <c r="P9" s="742"/>
      <c r="Q9" s="742"/>
      <c r="R9" s="742"/>
      <c r="S9" s="742"/>
      <c r="T9" s="742"/>
      <c r="U9" s="344"/>
      <c r="X9" s="343" t="s">
        <v>297</v>
      </c>
      <c r="Y9" s="740">
        <f ca="1">OFFSET($I$25,1+8*(ROUNDUP(($J$9-0)/((COLUMN($BF$14)-COLUMN($G$14)-1)/25*12),0)-1),ROUNDDOWN((($J$9-0)-OFFSET($I$25,8*(ROUNDUP(($J$9-0)/((COLUMN($BF$14)-COLUMN($G$14)-1)/25*12),0)-1),0))*(2+1/12),0))</f>
        <v>0</v>
      </c>
      <c r="Z9" s="740"/>
      <c r="AD9" s="343" t="s">
        <v>298</v>
      </c>
      <c r="AE9" s="740">
        <f ca="1">OFFSET($I$25,3+8*(ROUNDUP(($J$9-0)/((COLUMN($BF$14)-COLUMN($G$14)-1)/25*12),0)-1),ROUNDDOWN((($J$9-0)-OFFSET($I$25,8*(ROUNDUP(($J$9-0)/((COLUMN($BF$14)-COLUMN($G$14)-1)/25*12),0)-1),0))*(2+1/12),0))</f>
        <v>0</v>
      </c>
      <c r="AF9" s="740"/>
      <c r="AH9" s="343" t="s">
        <v>296</v>
      </c>
      <c r="AI9" s="741">
        <v>1</v>
      </c>
      <c r="AJ9" s="741"/>
      <c r="AL9" s="343" t="s">
        <v>285</v>
      </c>
      <c r="AM9" s="742" t="str">
        <f ca="1">TEXT(IF(PLE.Medicao=1,Import.DataInicioObra,OFFSET($H$24,0,1+(PLE.Medicao-$I$25)*2-2)+1),"dd/mm/aaaa")&amp;" a "&amp;TEXT(OFFSET($H$24,0,1+(PLE.Medicao-$I$25)*2),"dd/mm/aaaa")</f>
        <v>00/01/1900 a 00/01/1900</v>
      </c>
      <c r="AN9" s="742"/>
      <c r="AO9" s="742"/>
      <c r="AP9" s="742"/>
      <c r="AQ9" s="742"/>
      <c r="AR9" s="742"/>
      <c r="AS9" s="742"/>
      <c r="AT9" s="344"/>
      <c r="AW9" s="343" t="s">
        <v>297</v>
      </c>
      <c r="AX9" s="740">
        <f ca="1">OFFSET($I$25,1+8*(ROUNDUP(($J$9-0)/((COLUMN($BF$14)-COLUMN($G$14)-1)/25*12),0)-1),ROUNDDOWN((($J$9-0)-OFFSET($I$25,8*(ROUNDUP(($J$9-0)/((COLUMN($BF$14)-COLUMN($G$14)-1)/25*12),0)-1),0))*(2+1/12),0))</f>
        <v>0</v>
      </c>
      <c r="AY9" s="740"/>
      <c r="BC9" s="343" t="s">
        <v>298</v>
      </c>
      <c r="BD9" s="740">
        <f ca="1">OFFSET($I$25,3+8*(ROUNDUP(($J$9-0)/((COLUMN($BF$14)-COLUMN($G$14)-1)/25*12),0)-1),ROUNDDOWN((($J$9-0)-OFFSET($I$25,8*(ROUNDUP(($J$9-0)/((COLUMN($BF$14)-COLUMN($G$14)-1)/25*12),0)-1),0))*(2+1/12),0))</f>
        <v>0</v>
      </c>
      <c r="BE9" s="740"/>
    </row>
    <row r="11" spans="1:58" ht="65.25" customHeight="1" x14ac:dyDescent="0.2">
      <c r="A11" s="326" t="s">
        <v>292</v>
      </c>
      <c r="C11" s="748" t="str">
        <f>IF(TIPOORCAMENTO="proposto","ALTERE O TIPO DE ORÇAMENTO NA ABA 'MENU' PARA LICITADO.",IF(ACOMPANHAMENTO="BM","FOI SELECIONADO NA ABA 'MENU' O ACOMPANHAMENTO POR BM.",""))</f>
        <v>ALTERE O TIPO DE ORÇAMENTO NA ABA 'MENU' PARA LICITADO.</v>
      </c>
      <c r="D11" s="748"/>
      <c r="F11" s="328" t="str">
        <f ca="1">IF(F$12&gt;CÁLCULO.NúmeroDeFrentes,"",OFFSET(CÁLCULO!$P$12,0,F$12))</f>
        <v>TRÊS CRUZES 1ª ETAPA</v>
      </c>
      <c r="H11" s="328" t="str">
        <f ca="1">IF(H$12&gt;CÁLCULO.NúmeroDeFrentes,"",OFFSET(CÁLCULO!$P$12,0,H$12))</f>
        <v>TRÊS CRUZES 1ª ETAPA</v>
      </c>
      <c r="I11" s="328" t="str">
        <f ca="1">IF(I$12&gt;CÁLCULO.NúmeroDeFrentes,"",OFFSET(CÁLCULO!$P$12,0,I$12))</f>
        <v>CESÁRIOS (FAZ. SANTA TEREZINHA) 2ª ETAPA</v>
      </c>
      <c r="J11" s="328" t="str">
        <f ca="1">IF(J$12&gt;CÁLCULO.NúmeroDeFrentes,"",OFFSET(CÁLCULO!$P$12,0,J$12))</f>
        <v>ACESSO CESÁRIOS 3ª ETAPA</v>
      </c>
      <c r="K11" s="328">
        <f ca="1">IF(K$12&gt;CÁLCULO.NúmeroDeFrentes,"",OFFSET(CÁLCULO!$P$12,0,K$12))</f>
        <v>0</v>
      </c>
      <c r="L11" s="328">
        <f ca="1">IF(L$12&gt;CÁLCULO.NúmeroDeFrentes,"",OFFSET(CÁLCULO!$P$12,0,L$12))</f>
        <v>0</v>
      </c>
      <c r="M11" s="328">
        <f ca="1">IF(M$12&gt;CÁLCULO.NúmeroDeFrentes,"",OFFSET(CÁLCULO!$P$12,0,M$12))</f>
        <v>0</v>
      </c>
      <c r="N11" s="328">
        <f ca="1">IF(N$12&gt;CÁLCULO.NúmeroDeFrentes,"",OFFSET(CÁLCULO!$P$12,0,N$12))</f>
        <v>0</v>
      </c>
      <c r="O11" s="328">
        <f ca="1">IF(O$12&gt;CÁLCULO.NúmeroDeFrentes,"",OFFSET(CÁLCULO!$P$12,0,O$12))</f>
        <v>0</v>
      </c>
      <c r="P11" s="328">
        <f ca="1">IF(P$12&gt;CÁLCULO.NúmeroDeFrentes,"",OFFSET(CÁLCULO!$P$12,0,P$12))</f>
        <v>0</v>
      </c>
      <c r="Q11" s="328">
        <f ca="1">IF(Q$12&gt;CÁLCULO.NúmeroDeFrentes,"",OFFSET(CÁLCULO!$P$12,0,Q$12))</f>
        <v>0</v>
      </c>
      <c r="R11" s="328">
        <f ca="1">IF(R$12&gt;CÁLCULO.NúmeroDeFrentes,"",OFFSET(CÁLCULO!$P$12,0,R$12))</f>
        <v>0</v>
      </c>
      <c r="S11" s="328">
        <f ca="1">IF(S$12&gt;CÁLCULO.NúmeroDeFrentes,"",OFFSET(CÁLCULO!$P$12,0,S$12))</f>
        <v>0</v>
      </c>
      <c r="T11" s="328">
        <f ca="1">IF(T$12&gt;CÁLCULO.NúmeroDeFrentes,"",OFFSET(CÁLCULO!$P$12,0,T$12))</f>
        <v>0</v>
      </c>
      <c r="U11" s="328">
        <f ca="1">IF(U$12&gt;CÁLCULO.NúmeroDeFrentes,"",OFFSET(CÁLCULO!$P$12,0,U$12))</f>
        <v>0</v>
      </c>
      <c r="V11" s="328">
        <f ca="1">IF(V$12&gt;CÁLCULO.NúmeroDeFrentes,"",OFFSET(CÁLCULO!$P$12,0,V$12))</f>
        <v>0</v>
      </c>
      <c r="W11" s="328">
        <f ca="1">IF(W$12&gt;CÁLCULO.NúmeroDeFrentes,"",OFFSET(CÁLCULO!$P$12,0,W$12))</f>
        <v>0</v>
      </c>
      <c r="X11" s="328">
        <f ca="1">IF(X$12&gt;CÁLCULO.NúmeroDeFrentes,"",OFFSET(CÁLCULO!$P$12,0,X$12))</f>
        <v>0</v>
      </c>
      <c r="Y11" s="328">
        <f ca="1">IF(Y$12&gt;CÁLCULO.NúmeroDeFrentes,"",OFFSET(CÁLCULO!$P$12,0,Y$12))</f>
        <v>0</v>
      </c>
      <c r="Z11" s="328">
        <f ca="1">IF(Z$12&gt;CÁLCULO.NúmeroDeFrentes,"",OFFSET(CÁLCULO!$P$12,0,Z$12))</f>
        <v>0</v>
      </c>
      <c r="AA11" s="328">
        <f ca="1">IF(AA$12&gt;CÁLCULO.NúmeroDeFrentes,"",OFFSET(CÁLCULO!$P$12,0,AA$12))</f>
        <v>0</v>
      </c>
      <c r="AB11" s="328">
        <f ca="1">IF(AB$12&gt;CÁLCULO.NúmeroDeFrentes,"",OFFSET(CÁLCULO!$P$12,0,AB$12))</f>
        <v>0</v>
      </c>
      <c r="AC11" s="328">
        <f ca="1">IF(AC$12&gt;CÁLCULO.NúmeroDeFrentes,"",OFFSET(CÁLCULO!$P$12,0,AC$12))</f>
        <v>0</v>
      </c>
      <c r="AD11" s="328">
        <f ca="1">IF(AD$12&gt;CÁLCULO.NúmeroDeFrentes,"",OFFSET(CÁLCULO!$P$12,0,AD$12))</f>
        <v>0</v>
      </c>
      <c r="AE11" s="328">
        <f ca="1">IF(AE$12&gt;CÁLCULO.NúmeroDeFrentes,"",OFFSET(CÁLCULO!$P$12,0,AE$12))</f>
        <v>0</v>
      </c>
      <c r="AF11" s="328">
        <f ca="1">IF(AF$12&gt;CÁLCULO.NúmeroDeFrentes,"",OFFSET(CÁLCULO!$P$12,0,AF$12))</f>
        <v>0</v>
      </c>
      <c r="AG11" s="328">
        <f ca="1">IF(AG$12&gt;CÁLCULO.NúmeroDeFrentes,"",OFFSET(CÁLCULO!$P$12,0,AG$12))</f>
        <v>0</v>
      </c>
      <c r="AH11" s="328">
        <f ca="1">IF(AH$12&gt;CÁLCULO.NúmeroDeFrentes,"",OFFSET(CÁLCULO!$P$12,0,AH$12))</f>
        <v>0</v>
      </c>
      <c r="AI11" s="328">
        <f ca="1">IF(AI$12&gt;CÁLCULO.NúmeroDeFrentes,"",OFFSET(CÁLCULO!$P$12,0,AI$12))</f>
        <v>0</v>
      </c>
      <c r="AJ11" s="328">
        <f ca="1">IF(AJ$12&gt;CÁLCULO.NúmeroDeFrentes,"",OFFSET(CÁLCULO!$P$12,0,AJ$12))</f>
        <v>0</v>
      </c>
      <c r="AK11" s="328">
        <f ca="1">IF(AK$12&gt;CÁLCULO.NúmeroDeFrentes,"",OFFSET(CÁLCULO!$P$12,0,AK$12))</f>
        <v>0</v>
      </c>
      <c r="AL11" s="328">
        <f ca="1">IF(AL$12&gt;CÁLCULO.NúmeroDeFrentes,"",OFFSET(CÁLCULO!$P$12,0,AL$12))</f>
        <v>0</v>
      </c>
      <c r="AM11" s="328">
        <f ca="1">IF(AM$12&gt;CÁLCULO.NúmeroDeFrentes,"",OFFSET(CÁLCULO!$P$12,0,AM$12))</f>
        <v>0</v>
      </c>
      <c r="AN11" s="328">
        <f ca="1">IF(AN$12&gt;CÁLCULO.NúmeroDeFrentes,"",OFFSET(CÁLCULO!$P$12,0,AN$12))</f>
        <v>0</v>
      </c>
      <c r="AO11" s="328">
        <f ca="1">IF(AO$12&gt;CÁLCULO.NúmeroDeFrentes,"",OFFSET(CÁLCULO!$P$12,0,AO$12))</f>
        <v>0</v>
      </c>
      <c r="AP11" s="328">
        <f ca="1">IF(AP$12&gt;CÁLCULO.NúmeroDeFrentes,"",OFFSET(CÁLCULO!$P$12,0,AP$12))</f>
        <v>0</v>
      </c>
      <c r="AQ11" s="328">
        <f ca="1">IF(AQ$12&gt;CÁLCULO.NúmeroDeFrentes,"",OFFSET(CÁLCULO!$P$12,0,AQ$12))</f>
        <v>0</v>
      </c>
      <c r="AR11" s="328">
        <f ca="1">IF(AR$12&gt;CÁLCULO.NúmeroDeFrentes,"",OFFSET(CÁLCULO!$P$12,0,AR$12))</f>
        <v>0</v>
      </c>
      <c r="AS11" s="328">
        <f ca="1">IF(AS$12&gt;CÁLCULO.NúmeroDeFrentes,"",OFFSET(CÁLCULO!$P$12,0,AS$12))</f>
        <v>0</v>
      </c>
      <c r="AT11" s="328">
        <f ca="1">IF(AT$12&gt;CÁLCULO.NúmeroDeFrentes,"",OFFSET(CÁLCULO!$P$12,0,AT$12))</f>
        <v>0</v>
      </c>
      <c r="AU11" s="328">
        <f ca="1">IF(AU$12&gt;CÁLCULO.NúmeroDeFrentes,"",OFFSET(CÁLCULO!$P$12,0,AU$12))</f>
        <v>0</v>
      </c>
      <c r="AV11" s="328">
        <f ca="1">IF(AV$12&gt;CÁLCULO.NúmeroDeFrentes,"",OFFSET(CÁLCULO!$P$12,0,AV$12))</f>
        <v>0</v>
      </c>
      <c r="AW11" s="328">
        <f ca="1">IF(AW$12&gt;CÁLCULO.NúmeroDeFrentes,"",OFFSET(CÁLCULO!$P$12,0,AW$12))</f>
        <v>0</v>
      </c>
      <c r="AX11" s="328">
        <f ca="1">IF(AX$12&gt;CÁLCULO.NúmeroDeFrentes,"",OFFSET(CÁLCULO!$P$12,0,AX$12))</f>
        <v>0</v>
      </c>
      <c r="AY11" s="328">
        <f ca="1">IF(AY$12&gt;CÁLCULO.NúmeroDeFrentes,"",OFFSET(CÁLCULO!$P$12,0,AY$12))</f>
        <v>0</v>
      </c>
      <c r="AZ11" s="328">
        <f ca="1">IF(AZ$12&gt;CÁLCULO.NúmeroDeFrentes,"",OFFSET(CÁLCULO!$P$12,0,AZ$12))</f>
        <v>0</v>
      </c>
      <c r="BA11" s="328">
        <f ca="1">IF(BA$12&gt;CÁLCULO.NúmeroDeFrentes,"",OFFSET(CÁLCULO!$P$12,0,BA$12))</f>
        <v>0</v>
      </c>
      <c r="BB11" s="328">
        <f ca="1">IF(BB$12&gt;CÁLCULO.NúmeroDeFrentes,"",OFFSET(CÁLCULO!$P$12,0,BB$12))</f>
        <v>0</v>
      </c>
      <c r="BC11" s="328">
        <f ca="1">IF(BC$12&gt;CÁLCULO.NúmeroDeFrentes,"",OFFSET(CÁLCULO!$P$12,0,BC$12))</f>
        <v>0</v>
      </c>
      <c r="BD11" s="328">
        <f ca="1">IF(BD$12&gt;CÁLCULO.NúmeroDeFrentes,"",OFFSET(CÁLCULO!$P$12,0,BD$12))</f>
        <v>0</v>
      </c>
      <c r="BE11" s="328">
        <f ca="1">IF(BE$12&gt;CÁLCULO.NúmeroDeFrentes,"",OFFSET(CÁLCULO!$P$12,0,BE$12))</f>
        <v>0</v>
      </c>
    </row>
    <row r="12" spans="1:58" ht="12.75" customHeight="1" x14ac:dyDescent="0.2">
      <c r="A12" s="131" t="s">
        <v>219</v>
      </c>
      <c r="B12" s="744" t="s">
        <v>268</v>
      </c>
      <c r="C12" s="744" t="s">
        <v>293</v>
      </c>
      <c r="D12" s="744"/>
      <c r="F12" s="329">
        <f ca="1">OFFSET(F12,0,-1)+1</f>
        <v>1</v>
      </c>
      <c r="H12" s="329">
        <f ca="1">OFFSET(H12,0,-1)+1</f>
        <v>1</v>
      </c>
      <c r="I12" s="329">
        <f ca="1">OFFSET(I12,0,-1)+1</f>
        <v>2</v>
      </c>
      <c r="J12" s="329">
        <f t="shared" ref="J12:BE12" ca="1" si="0">OFFSET(J12,0,-1)+1</f>
        <v>3</v>
      </c>
      <c r="K12" s="329">
        <f t="shared" ca="1" si="0"/>
        <v>4</v>
      </c>
      <c r="L12" s="329">
        <f t="shared" ca="1" si="0"/>
        <v>5</v>
      </c>
      <c r="M12" s="329">
        <f t="shared" ca="1" si="0"/>
        <v>6</v>
      </c>
      <c r="N12" s="329">
        <f t="shared" ca="1" si="0"/>
        <v>7</v>
      </c>
      <c r="O12" s="329">
        <f t="shared" ca="1" si="0"/>
        <v>8</v>
      </c>
      <c r="P12" s="329">
        <f t="shared" ca="1" si="0"/>
        <v>9</v>
      </c>
      <c r="Q12" s="329">
        <f t="shared" ca="1" si="0"/>
        <v>10</v>
      </c>
      <c r="R12" s="329">
        <f t="shared" ca="1" si="0"/>
        <v>11</v>
      </c>
      <c r="S12" s="329">
        <f t="shared" ca="1" si="0"/>
        <v>12</v>
      </c>
      <c r="T12" s="329">
        <f t="shared" ca="1" si="0"/>
        <v>13</v>
      </c>
      <c r="U12" s="329">
        <f t="shared" ca="1" si="0"/>
        <v>14</v>
      </c>
      <c r="V12" s="329">
        <f t="shared" ca="1" si="0"/>
        <v>15</v>
      </c>
      <c r="W12" s="329">
        <f t="shared" ca="1" si="0"/>
        <v>16</v>
      </c>
      <c r="X12" s="329">
        <f t="shared" ca="1" si="0"/>
        <v>17</v>
      </c>
      <c r="Y12" s="329">
        <f t="shared" ca="1" si="0"/>
        <v>18</v>
      </c>
      <c r="Z12" s="329">
        <f t="shared" ca="1" si="0"/>
        <v>19</v>
      </c>
      <c r="AA12" s="329">
        <f t="shared" ca="1" si="0"/>
        <v>20</v>
      </c>
      <c r="AB12" s="329">
        <f t="shared" ca="1" si="0"/>
        <v>21</v>
      </c>
      <c r="AC12" s="329">
        <f t="shared" ca="1" si="0"/>
        <v>22</v>
      </c>
      <c r="AD12" s="329">
        <f t="shared" ca="1" si="0"/>
        <v>23</v>
      </c>
      <c r="AE12" s="329">
        <f t="shared" ca="1" si="0"/>
        <v>24</v>
      </c>
      <c r="AF12" s="329">
        <f t="shared" ca="1" si="0"/>
        <v>25</v>
      </c>
      <c r="AG12" s="329">
        <f t="shared" ca="1" si="0"/>
        <v>26</v>
      </c>
      <c r="AH12" s="329">
        <f t="shared" ca="1" si="0"/>
        <v>27</v>
      </c>
      <c r="AI12" s="329">
        <f t="shared" ca="1" si="0"/>
        <v>28</v>
      </c>
      <c r="AJ12" s="329">
        <f t="shared" ca="1" si="0"/>
        <v>29</v>
      </c>
      <c r="AK12" s="329">
        <f t="shared" ca="1" si="0"/>
        <v>30</v>
      </c>
      <c r="AL12" s="329">
        <f t="shared" ca="1" si="0"/>
        <v>31</v>
      </c>
      <c r="AM12" s="329">
        <f t="shared" ca="1" si="0"/>
        <v>32</v>
      </c>
      <c r="AN12" s="329">
        <f t="shared" ca="1" si="0"/>
        <v>33</v>
      </c>
      <c r="AO12" s="329">
        <f t="shared" ca="1" si="0"/>
        <v>34</v>
      </c>
      <c r="AP12" s="329">
        <f t="shared" ca="1" si="0"/>
        <v>35</v>
      </c>
      <c r="AQ12" s="329">
        <f t="shared" ca="1" si="0"/>
        <v>36</v>
      </c>
      <c r="AR12" s="329">
        <f t="shared" ca="1" si="0"/>
        <v>37</v>
      </c>
      <c r="AS12" s="329">
        <f t="shared" ca="1" si="0"/>
        <v>38</v>
      </c>
      <c r="AT12" s="329">
        <f t="shared" ca="1" si="0"/>
        <v>39</v>
      </c>
      <c r="AU12" s="329">
        <f t="shared" ca="1" si="0"/>
        <v>40</v>
      </c>
      <c r="AV12" s="329">
        <f t="shared" ca="1" si="0"/>
        <v>41</v>
      </c>
      <c r="AW12" s="329">
        <f t="shared" ca="1" si="0"/>
        <v>42</v>
      </c>
      <c r="AX12" s="329">
        <f t="shared" ca="1" si="0"/>
        <v>43</v>
      </c>
      <c r="AY12" s="329">
        <f t="shared" ca="1" si="0"/>
        <v>44</v>
      </c>
      <c r="AZ12" s="329">
        <f t="shared" ca="1" si="0"/>
        <v>45</v>
      </c>
      <c r="BA12" s="329">
        <f t="shared" ca="1" si="0"/>
        <v>46</v>
      </c>
      <c r="BB12" s="329">
        <f t="shared" ca="1" si="0"/>
        <v>47</v>
      </c>
      <c r="BC12" s="329">
        <f t="shared" ca="1" si="0"/>
        <v>48</v>
      </c>
      <c r="BD12" s="329">
        <f t="shared" ca="1" si="0"/>
        <v>49</v>
      </c>
      <c r="BE12" s="329">
        <f t="shared" ca="1" si="0"/>
        <v>50</v>
      </c>
    </row>
    <row r="13" spans="1:58" x14ac:dyDescent="0.2">
      <c r="B13" s="744"/>
      <c r="C13" s="744"/>
      <c r="D13" s="744"/>
      <c r="F13" s="331"/>
      <c r="H13" s="331"/>
      <c r="I13" s="330"/>
      <c r="J13" s="330"/>
      <c r="K13" s="330"/>
      <c r="L13" s="330"/>
      <c r="M13" s="330"/>
      <c r="N13" s="330" t="s">
        <v>299</v>
      </c>
      <c r="O13" s="330"/>
      <c r="P13" s="330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2"/>
      <c r="AG13" s="331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330"/>
      <c r="BD13" s="330"/>
      <c r="BE13" s="332"/>
    </row>
    <row r="14" spans="1:58" ht="7.5" customHeight="1" x14ac:dyDescent="0.2">
      <c r="A14" s="9" t="s">
        <v>248</v>
      </c>
    </row>
    <row r="15" spans="1:58" x14ac:dyDescent="0.2">
      <c r="A15" s="9" t="str">
        <f ca="1">IF(AND(AUTOEVENTO="Manual",OFFSET(EVENTOS!$F$14,1,0)&gt;0),"F","")</f>
        <v/>
      </c>
      <c r="B15" s="333">
        <v>1</v>
      </c>
      <c r="C15" s="745" t="s">
        <v>271</v>
      </c>
      <c r="D15" s="745"/>
      <c r="F15" s="336"/>
      <c r="H15" s="336" t="str">
        <f ca="1">IF(AUTOEVENTO="MANUAL","A administração local será proporcional a execução dos demais eventos, independente de frentes de obra.","Para aplicação de Adm. Local é necessário definir os eventos manualmente.")</f>
        <v>Para aplicação de Adm. Local é necessário definir os eventos manualmente.</v>
      </c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335"/>
      <c r="Z15" s="335"/>
      <c r="AA15" s="335"/>
      <c r="AB15" s="335"/>
      <c r="AC15" s="335"/>
      <c r="AD15" s="335"/>
      <c r="AE15" s="335"/>
      <c r="AF15" s="337"/>
      <c r="AG15" s="336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5"/>
      <c r="BB15" s="335"/>
      <c r="BC15" s="335"/>
      <c r="BD15" s="335"/>
      <c r="BE15" s="337"/>
    </row>
    <row r="16" spans="1:58" x14ac:dyDescent="0.2">
      <c r="A16" s="9" t="str">
        <f ca="1">IF(AUTOEVENTO="Manual",IF(OFFSET(EVENTOS!$F$14,PLE!$B16,0)&gt;0,"F",""),IF(PLE!B16&lt;=MAX(CÁLCULO!$M$15:$M$33),"F",""))</f>
        <v>F</v>
      </c>
      <c r="B16" s="322">
        <f ca="1">OFFSET(B16,-1,0)+1</f>
        <v>2</v>
      </c>
      <c r="C16" s="723" t="str">
        <f ca="1">IF(AUTOEVENTO="Manual",IF($B16&lt;&gt;1,OFFSET(EVENTOS!$D$14,$B16,0),0),IF(B16&lt;=MAX(CÁLCULO!$M$15:$M$33),VLOOKUP($B16,CÁLCULO!$M$15:$N$33,2,FALSE),0))</f>
        <v>SERVIÇOS PRELIMINARES</v>
      </c>
      <c r="D16" s="723"/>
      <c r="F16" s="324"/>
      <c r="H16" s="324"/>
      <c r="I16" s="324"/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24"/>
      <c r="Y16" s="324"/>
      <c r="Z16" s="324"/>
      <c r="AA16" s="324"/>
      <c r="AB16" s="324"/>
      <c r="AC16" s="324"/>
      <c r="AD16" s="324"/>
      <c r="AE16" s="324"/>
      <c r="AF16" s="324"/>
      <c r="AG16" s="324"/>
      <c r="AH16" s="324"/>
      <c r="AI16" s="324"/>
      <c r="AJ16" s="324"/>
      <c r="AK16" s="324"/>
      <c r="AL16" s="324"/>
      <c r="AM16" s="324"/>
      <c r="AN16" s="324"/>
      <c r="AO16" s="324"/>
      <c r="AP16" s="324"/>
      <c r="AQ16" s="324"/>
      <c r="AR16" s="324"/>
      <c r="AS16" s="324"/>
      <c r="AT16" s="324"/>
      <c r="AU16" s="324"/>
      <c r="AV16" s="324"/>
      <c r="AW16" s="324"/>
      <c r="AX16" s="324"/>
      <c r="AY16" s="324"/>
      <c r="AZ16" s="324"/>
      <c r="BA16" s="324"/>
      <c r="BB16" s="324"/>
      <c r="BC16" s="324"/>
      <c r="BD16" s="324"/>
      <c r="BE16" s="324"/>
    </row>
    <row r="17" spans="1:57" x14ac:dyDescent="0.2">
      <c r="A17" s="9" t="str">
        <f ca="1">IF(AUTOEVENTO="Manual",IF(OFFSET(EVENTOS!$F$14,PLE!$B17,0)&gt;0,"F",""),IF(PLE!B17&lt;=MAX(CÁLCULO!$M$15:$M$33),"F",""))</f>
        <v>F</v>
      </c>
      <c r="B17" s="322">
        <f ca="1">OFFSET(B17,-1,0)+1</f>
        <v>3</v>
      </c>
      <c r="C17" s="723" t="str">
        <f ca="1">IF(AUTOEVENTO="Manual",IF($B17&lt;&gt;1,OFFSET(EVENTOS!$D$14,$B17,0),0),IF(B17&lt;=MAX(CÁLCULO!$M$15:$M$33),VLOOKUP($B17,CÁLCULO!$M$15:$N$33,2,FALSE),0))</f>
        <v>ADMINISTRAÇÃO LOCAL</v>
      </c>
      <c r="D17" s="723"/>
      <c r="F17" s="324"/>
      <c r="H17" s="324"/>
      <c r="I17" s="324"/>
      <c r="J17" s="324"/>
      <c r="K17" s="324"/>
      <c r="L17" s="324"/>
      <c r="M17" s="324"/>
      <c r="N17" s="324"/>
      <c r="O17" s="324"/>
      <c r="P17" s="324"/>
      <c r="Q17" s="324"/>
      <c r="R17" s="324"/>
      <c r="S17" s="324"/>
      <c r="T17" s="324"/>
      <c r="U17" s="324"/>
      <c r="V17" s="324"/>
      <c r="W17" s="324"/>
      <c r="X17" s="324"/>
      <c r="Y17" s="324"/>
      <c r="Z17" s="324"/>
      <c r="AA17" s="324"/>
      <c r="AB17" s="324"/>
      <c r="AC17" s="324"/>
      <c r="AD17" s="324"/>
      <c r="AE17" s="324"/>
      <c r="AF17" s="324"/>
      <c r="AG17" s="324"/>
      <c r="AH17" s="324"/>
      <c r="AI17" s="324"/>
      <c r="AJ17" s="324"/>
      <c r="AK17" s="324"/>
      <c r="AL17" s="324"/>
      <c r="AM17" s="324"/>
      <c r="AN17" s="324"/>
      <c r="AO17" s="324"/>
      <c r="AP17" s="324"/>
      <c r="AQ17" s="324"/>
      <c r="AR17" s="324"/>
      <c r="AS17" s="324"/>
      <c r="AT17" s="324"/>
      <c r="AU17" s="324"/>
      <c r="AV17" s="324"/>
      <c r="AW17" s="324"/>
      <c r="AX17" s="324"/>
      <c r="AY17" s="324"/>
      <c r="AZ17" s="324"/>
      <c r="BA17" s="324"/>
      <c r="BB17" s="324"/>
      <c r="BC17" s="324"/>
      <c r="BD17" s="324"/>
      <c r="BE17" s="324"/>
    </row>
    <row r="18" spans="1:57" x14ac:dyDescent="0.2">
      <c r="A18" s="9" t="str">
        <f ca="1">IF(AUTOEVENTO="Manual",IF(OFFSET(EVENTOS!$F$14,PLE!$B18,0)&gt;0,"F",""),IF(PLE!B18&lt;=MAX(CÁLCULO!$M$15:$M$33),"F",""))</f>
        <v>F</v>
      </c>
      <c r="B18" s="322">
        <f ca="1">OFFSET(B18,-1,0)+1</f>
        <v>4</v>
      </c>
      <c r="C18" s="723" t="str">
        <f ca="1">IF(AUTOEVENTO="Manual",IF($B18&lt;&gt;1,OFFSET(EVENTOS!$D$14,$B18,0),0),IF(B18&lt;=MAX(CÁLCULO!$M$15:$M$33),VLOOKUP($B18,CÁLCULO!$M$15:$N$33,2,FALSE),0))</f>
        <v>PAVIMENTAÇÃO DE VIAS</v>
      </c>
      <c r="D18" s="723"/>
      <c r="F18" s="324"/>
      <c r="H18" s="324"/>
      <c r="I18" s="324"/>
      <c r="J18" s="324"/>
      <c r="K18" s="324"/>
      <c r="L18" s="324"/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4"/>
      <c r="Z18" s="324"/>
      <c r="AA18" s="324"/>
      <c r="AB18" s="324"/>
      <c r="AC18" s="324"/>
      <c r="AD18" s="324"/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324"/>
      <c r="BC18" s="324"/>
      <c r="BD18" s="324"/>
      <c r="BE18" s="324"/>
    </row>
    <row r="19" spans="1:57" x14ac:dyDescent="0.2">
      <c r="A19" s="9" t="str">
        <f ca="1">IF(AUTOEVENTO="Manual",IF(OFFSET(EVENTOS!$F$14,PLE!$B19,0)&gt;0,"F",""),IF(PLE!B19&lt;=MAX(CÁLCULO!$M$15:$M$33),"F",""))</f>
        <v>F</v>
      </c>
      <c r="B19" s="322">
        <f ca="1">OFFSET(B19,-1,0)+1</f>
        <v>5</v>
      </c>
      <c r="C19" s="723" t="str">
        <f ca="1">IF(AUTOEVENTO="Manual",IF($B19&lt;&gt;1,OFFSET(EVENTOS!$D$14,$B19,0),0),IF(B19&lt;=MAX(CÁLCULO!$M$15:$M$33),VLOOKUP($B19,CÁLCULO!$M$15:$N$33,2,FALSE),0))</f>
        <v>DRENAGEM SUPERFICIAL</v>
      </c>
      <c r="D19" s="723"/>
      <c r="F19" s="324"/>
      <c r="H19" s="324"/>
      <c r="I19" s="324"/>
      <c r="J19" s="324"/>
      <c r="K19" s="324"/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4"/>
      <c r="X19" s="324"/>
      <c r="Y19" s="324"/>
      <c r="Z19" s="324"/>
      <c r="AA19" s="324"/>
      <c r="AB19" s="324"/>
      <c r="AC19" s="324"/>
      <c r="AD19" s="324"/>
      <c r="AE19" s="324"/>
      <c r="AF19" s="324"/>
      <c r="AG19" s="324"/>
      <c r="AH19" s="324"/>
      <c r="AI19" s="324"/>
      <c r="AJ19" s="324"/>
      <c r="AK19" s="324"/>
      <c r="AL19" s="324"/>
      <c r="AM19" s="324"/>
      <c r="AN19" s="324"/>
      <c r="AO19" s="324"/>
      <c r="AP19" s="324"/>
      <c r="AQ19" s="324"/>
      <c r="AR19" s="324"/>
      <c r="AS19" s="324"/>
      <c r="AT19" s="324"/>
      <c r="AU19" s="324"/>
      <c r="AV19" s="324"/>
      <c r="AW19" s="324"/>
      <c r="AX19" s="324"/>
      <c r="AY19" s="324"/>
      <c r="AZ19" s="324"/>
      <c r="BA19" s="324"/>
      <c r="BB19" s="324"/>
      <c r="BC19" s="324"/>
      <c r="BD19" s="324"/>
      <c r="BE19" s="324"/>
    </row>
    <row r="20" spans="1:57" x14ac:dyDescent="0.2">
      <c r="A20" s="9" t="str">
        <f ca="1">IF(AUTOEVENTO="Manual",IF(OFFSET(EVENTOS!$F$14,PLE!$B20,0)&gt;0,"F",""),IF(PLE!B20&lt;=MAX(CÁLCULO!$M$15:$M$33),"F",""))</f>
        <v>F</v>
      </c>
      <c r="B20" s="322">
        <f ca="1">OFFSET(B20,-1,0)+1</f>
        <v>6</v>
      </c>
      <c r="C20" s="723" t="str">
        <f ca="1">IF(AUTOEVENTO="Manual",IF($B20&lt;&gt;1,OFFSET(EVENTOS!$D$14,$B20,0),0),IF(B20&lt;=MAX(CÁLCULO!$M$15:$M$33),VLOOKUP($B20,CÁLCULO!$M$15:$N$33,2,FALSE),0))</f>
        <v>SINALIZAÇÃO VIÁRIA</v>
      </c>
      <c r="D20" s="723"/>
      <c r="F20" s="324"/>
      <c r="H20" s="324"/>
      <c r="I20" s="324"/>
      <c r="J20" s="324"/>
      <c r="K20" s="324"/>
      <c r="L20" s="324"/>
      <c r="M20" s="324"/>
      <c r="N20" s="324"/>
      <c r="O20" s="324"/>
      <c r="P20" s="324"/>
      <c r="Q20" s="324"/>
      <c r="R20" s="324"/>
      <c r="S20" s="324"/>
      <c r="T20" s="324"/>
      <c r="U20" s="324"/>
      <c r="V20" s="324"/>
      <c r="W20" s="324"/>
      <c r="X20" s="324"/>
      <c r="Y20" s="324"/>
      <c r="Z20" s="324"/>
      <c r="AA20" s="324"/>
      <c r="AB20" s="324"/>
      <c r="AC20" s="324"/>
      <c r="AD20" s="324"/>
      <c r="AE20" s="324"/>
      <c r="AF20" s="324"/>
      <c r="AG20" s="324"/>
      <c r="AH20" s="324"/>
      <c r="AI20" s="324"/>
      <c r="AJ20" s="324"/>
      <c r="AK20" s="324"/>
      <c r="AL20" s="324"/>
      <c r="AM20" s="324"/>
      <c r="AN20" s="324"/>
      <c r="AO20" s="324"/>
      <c r="AP20" s="324"/>
      <c r="AQ20" s="324"/>
      <c r="AR20" s="324"/>
      <c r="AS20" s="324"/>
      <c r="AT20" s="324"/>
      <c r="AU20" s="324"/>
      <c r="AV20" s="324"/>
      <c r="AW20" s="324"/>
      <c r="AX20" s="324"/>
      <c r="AY20" s="324"/>
      <c r="AZ20" s="324"/>
      <c r="BA20" s="324"/>
      <c r="BB20" s="324"/>
      <c r="BC20" s="324"/>
      <c r="BD20" s="324"/>
      <c r="BE20" s="324"/>
    </row>
    <row r="21" spans="1:57" ht="4.5" customHeight="1" x14ac:dyDescent="0.2">
      <c r="A21" s="9" t="s">
        <v>248</v>
      </c>
      <c r="B21" s="559"/>
      <c r="C21" s="590"/>
      <c r="D21" s="591"/>
      <c r="F21" s="345"/>
      <c r="H21" s="559"/>
      <c r="I21" s="590"/>
      <c r="J21" s="590"/>
      <c r="K21" s="590"/>
      <c r="L21" s="590"/>
      <c r="M21" s="590"/>
      <c r="N21" s="590"/>
      <c r="O21" s="590"/>
      <c r="P21" s="590"/>
      <c r="Q21" s="590"/>
      <c r="R21" s="590"/>
      <c r="S21" s="590"/>
      <c r="T21" s="590"/>
      <c r="U21" s="590"/>
      <c r="V21" s="590"/>
      <c r="W21" s="590"/>
      <c r="X21" s="590"/>
      <c r="Y21" s="590"/>
      <c r="Z21" s="590"/>
      <c r="AA21" s="590"/>
      <c r="AB21" s="590"/>
      <c r="AC21" s="590"/>
      <c r="AD21" s="590"/>
      <c r="AE21" s="590"/>
      <c r="AF21" s="591"/>
      <c r="AG21" s="559"/>
      <c r="AH21" s="590"/>
      <c r="AI21" s="590"/>
      <c r="AJ21" s="590"/>
      <c r="AK21" s="590"/>
      <c r="AL21" s="590"/>
      <c r="AM21" s="590"/>
      <c r="AN21" s="590"/>
      <c r="AO21" s="590"/>
      <c r="AP21" s="590"/>
      <c r="AQ21" s="590"/>
      <c r="AR21" s="590"/>
      <c r="AS21" s="590"/>
      <c r="AT21" s="590"/>
      <c r="AU21" s="590"/>
      <c r="AV21" s="590"/>
      <c r="AW21" s="590"/>
      <c r="AX21" s="590"/>
      <c r="AY21" s="590"/>
      <c r="AZ21" s="590"/>
      <c r="BA21" s="590"/>
      <c r="BB21" s="590"/>
      <c r="BC21" s="590"/>
      <c r="BD21" s="590"/>
      <c r="BE21" s="591"/>
    </row>
    <row r="22" spans="1:57" x14ac:dyDescent="0.2">
      <c r="A22" s="9" t="s">
        <v>248</v>
      </c>
    </row>
    <row r="23" spans="1:57" x14ac:dyDescent="0.2">
      <c r="A23" s="9" t="s">
        <v>248</v>
      </c>
      <c r="I23" s="743" t="s">
        <v>300</v>
      </c>
      <c r="J23" s="743"/>
      <c r="K23" s="743"/>
      <c r="L23" s="743"/>
      <c r="M23" s="743"/>
      <c r="N23" s="743"/>
      <c r="O23" s="743"/>
      <c r="P23" s="743"/>
      <c r="Q23" s="743"/>
      <c r="R23" s="743"/>
      <c r="S23" s="743"/>
      <c r="T23" s="743"/>
      <c r="U23" s="743"/>
      <c r="V23" s="743"/>
      <c r="W23" s="743"/>
      <c r="X23" s="743"/>
      <c r="Y23" s="743"/>
      <c r="Z23" s="743"/>
      <c r="AA23" s="743"/>
      <c r="AB23" s="743"/>
      <c r="AC23" s="743"/>
      <c r="AD23" s="743"/>
      <c r="AE23" s="743"/>
      <c r="AF23" s="743"/>
      <c r="AH23" s="743" t="s">
        <v>300</v>
      </c>
      <c r="AI23" s="743"/>
      <c r="AJ23" s="743"/>
      <c r="AK23" s="743"/>
      <c r="AL23" s="743"/>
      <c r="AM23" s="743"/>
      <c r="AN23" s="743"/>
      <c r="AO23" s="743"/>
      <c r="AP23" s="743"/>
      <c r="AQ23" s="743"/>
      <c r="AR23" s="743"/>
      <c r="AS23" s="743"/>
      <c r="AT23" s="743"/>
      <c r="AU23" s="743"/>
      <c r="AV23" s="743"/>
      <c r="AW23" s="743"/>
      <c r="AX23" s="743"/>
      <c r="AY23" s="743"/>
      <c r="AZ23" s="743"/>
      <c r="BA23" s="743"/>
      <c r="BB23" s="743"/>
      <c r="BC23" s="743"/>
      <c r="BD23" s="743"/>
      <c r="BE23" s="743"/>
    </row>
    <row r="24" spans="1:57" x14ac:dyDescent="0.2">
      <c r="A24" s="9" t="s">
        <v>248</v>
      </c>
      <c r="H24" s="616"/>
      <c r="I24" s="728"/>
      <c r="J24" s="725"/>
      <c r="K24" s="725"/>
      <c r="L24" s="725"/>
      <c r="M24" s="725"/>
      <c r="N24" s="725"/>
      <c r="O24" s="725"/>
      <c r="P24" s="725"/>
      <c r="Q24" s="725"/>
      <c r="R24" s="725"/>
      <c r="S24" s="725"/>
      <c r="T24" s="725"/>
      <c r="U24" s="725"/>
      <c r="V24" s="725"/>
      <c r="W24" s="725"/>
      <c r="X24" s="725"/>
      <c r="Y24" s="725"/>
      <c r="Z24" s="725"/>
      <c r="AA24" s="725"/>
      <c r="AB24" s="725"/>
      <c r="AC24" s="725"/>
      <c r="AD24" s="725"/>
      <c r="AE24" s="725"/>
      <c r="AF24" s="738"/>
      <c r="AG24" s="616"/>
      <c r="AH24" s="728"/>
      <c r="AI24" s="725"/>
      <c r="AJ24" s="725"/>
      <c r="AK24" s="725"/>
      <c r="AL24" s="725"/>
      <c r="AM24" s="725"/>
      <c r="AN24" s="725"/>
      <c r="AO24" s="725"/>
      <c r="AP24" s="725"/>
      <c r="AQ24" s="725"/>
      <c r="AR24" s="725"/>
      <c r="AS24" s="725"/>
      <c r="AT24" s="725"/>
      <c r="AU24" s="725"/>
      <c r="AV24" s="725"/>
      <c r="AW24" s="725"/>
      <c r="AX24" s="725"/>
      <c r="AY24" s="725"/>
      <c r="AZ24" s="725"/>
      <c r="BA24" s="725"/>
      <c r="BB24" s="725"/>
      <c r="BC24" s="725"/>
      <c r="BD24" s="725"/>
      <c r="BE24" s="738"/>
    </row>
    <row r="25" spans="1:57" x14ac:dyDescent="0.2">
      <c r="A25" s="9" t="s">
        <v>248</v>
      </c>
      <c r="D25" s="346" t="s">
        <v>301</v>
      </c>
      <c r="I25" s="726">
        <f>IF(PLE.Medicao&lt;=12,1,TRUNC((PLE.Medicao - 2)/11,0) * 11 + 1)</f>
        <v>1</v>
      </c>
      <c r="J25" s="726"/>
      <c r="K25" s="726">
        <f>I25+1</f>
        <v>2</v>
      </c>
      <c r="L25" s="726"/>
      <c r="M25" s="726">
        <f>K25+1</f>
        <v>3</v>
      </c>
      <c r="N25" s="726"/>
      <c r="O25" s="726">
        <f>M25+1</f>
        <v>4</v>
      </c>
      <c r="P25" s="726"/>
      <c r="Q25" s="726">
        <f>O25+1</f>
        <v>5</v>
      </c>
      <c r="R25" s="726"/>
      <c r="S25" s="726">
        <f>Q25+1</f>
        <v>6</v>
      </c>
      <c r="T25" s="726"/>
      <c r="U25" s="726">
        <f>S25+1</f>
        <v>7</v>
      </c>
      <c r="V25" s="726"/>
      <c r="W25" s="726">
        <f>U25+1</f>
        <v>8</v>
      </c>
      <c r="X25" s="726"/>
      <c r="Y25" s="726">
        <f>W25+1</f>
        <v>9</v>
      </c>
      <c r="Z25" s="726"/>
      <c r="AA25" s="726">
        <f>Y25+1</f>
        <v>10</v>
      </c>
      <c r="AB25" s="726"/>
      <c r="AC25" s="726">
        <f>AA25+1</f>
        <v>11</v>
      </c>
      <c r="AD25" s="726"/>
      <c r="AE25" s="726">
        <f>AC25+1</f>
        <v>12</v>
      </c>
      <c r="AF25" s="726"/>
      <c r="AH25" s="726">
        <f>IF(PLE.Medicao&lt;=12,1,TRUNC((PLE.Medicao - 2)/11,0) * 11 + 1)</f>
        <v>1</v>
      </c>
      <c r="AI25" s="726"/>
      <c r="AJ25" s="726">
        <f>AH25+1</f>
        <v>2</v>
      </c>
      <c r="AK25" s="726"/>
      <c r="AL25" s="726">
        <f>AJ25+1</f>
        <v>3</v>
      </c>
      <c r="AM25" s="726"/>
      <c r="AN25" s="726">
        <f>AL25+1</f>
        <v>4</v>
      </c>
      <c r="AO25" s="726"/>
      <c r="AP25" s="726">
        <f>AN25+1</f>
        <v>5</v>
      </c>
      <c r="AQ25" s="726"/>
      <c r="AR25" s="726">
        <f>AP25+1</f>
        <v>6</v>
      </c>
      <c r="AS25" s="726"/>
      <c r="AT25" s="726">
        <f>AR25+1</f>
        <v>7</v>
      </c>
      <c r="AU25" s="726"/>
      <c r="AV25" s="726">
        <f>AT25+1</f>
        <v>8</v>
      </c>
      <c r="AW25" s="726"/>
      <c r="AX25" s="726">
        <f>AV25+1</f>
        <v>9</v>
      </c>
      <c r="AY25" s="726"/>
      <c r="AZ25" s="726">
        <f>AX25+1</f>
        <v>10</v>
      </c>
      <c r="BA25" s="726"/>
      <c r="BB25" s="726">
        <f>AZ25+1</f>
        <v>11</v>
      </c>
      <c r="BC25" s="726"/>
      <c r="BD25" s="726">
        <f>BB25+1</f>
        <v>12</v>
      </c>
      <c r="BE25" s="726"/>
    </row>
    <row r="26" spans="1:57" x14ac:dyDescent="0.2">
      <c r="A26" s="9" t="s">
        <v>248</v>
      </c>
      <c r="D26" s="729" t="s">
        <v>285</v>
      </c>
      <c r="H26" s="347" t="s">
        <v>302</v>
      </c>
      <c r="I26" s="727">
        <f ca="1">ROUND(I27,2)/ORÇAMENTO!$X$15</f>
        <v>0</v>
      </c>
      <c r="J26" s="727"/>
      <c r="K26" s="724">
        <f ca="1">ROUND(K27,2)/ORÇAMENTO!$X$15</f>
        <v>0</v>
      </c>
      <c r="L26" s="724"/>
      <c r="M26" s="730">
        <f ca="1">ROUND(M27,2)/ORÇAMENTO!$X$15</f>
        <v>0</v>
      </c>
      <c r="N26" s="730"/>
      <c r="O26" s="724">
        <f ca="1">ROUND(O27,2)/ORÇAMENTO!$X$15</f>
        <v>0</v>
      </c>
      <c r="P26" s="724"/>
      <c r="Q26" s="730">
        <f ca="1">ROUND(Q27,2)/ORÇAMENTO!$X$15</f>
        <v>0</v>
      </c>
      <c r="R26" s="730"/>
      <c r="S26" s="724">
        <f ca="1">ROUND(S27,2)/ORÇAMENTO!$X$15</f>
        <v>0</v>
      </c>
      <c r="T26" s="724"/>
      <c r="U26" s="730">
        <f ca="1">ROUND(U27,2)/ORÇAMENTO!$X$15</f>
        <v>0</v>
      </c>
      <c r="V26" s="730"/>
      <c r="W26" s="724">
        <f ca="1">ROUND(W27,2)/ORÇAMENTO!$X$15</f>
        <v>0</v>
      </c>
      <c r="X26" s="724"/>
      <c r="Y26" s="730">
        <f ca="1">ROUND(Y27,2)/ORÇAMENTO!$X$15</f>
        <v>0</v>
      </c>
      <c r="Z26" s="730"/>
      <c r="AA26" s="724">
        <f ca="1">ROUND(AA27,2)/ORÇAMENTO!$X$15</f>
        <v>0</v>
      </c>
      <c r="AB26" s="724"/>
      <c r="AC26" s="730">
        <f ca="1">ROUND(AC27,2)/ORÇAMENTO!$X$15</f>
        <v>0</v>
      </c>
      <c r="AD26" s="730"/>
      <c r="AE26" s="724">
        <f ca="1">ROUND(AE27,2)/ORÇAMENTO!$X$15</f>
        <v>0</v>
      </c>
      <c r="AF26" s="724"/>
      <c r="AG26" s="347" t="s">
        <v>302</v>
      </c>
      <c r="AH26" s="727">
        <f ca="1">ROUND(AH27,2)/ORÇAMENTO!$X$15</f>
        <v>0</v>
      </c>
      <c r="AI26" s="727"/>
      <c r="AJ26" s="724">
        <f ca="1">ROUND(AJ27,2)/ORÇAMENTO!$X$15</f>
        <v>0</v>
      </c>
      <c r="AK26" s="724"/>
      <c r="AL26" s="730">
        <f ca="1">ROUND(AL27,2)/ORÇAMENTO!$X$15</f>
        <v>0</v>
      </c>
      <c r="AM26" s="730"/>
      <c r="AN26" s="724">
        <f ca="1">ROUND(AN27,2)/ORÇAMENTO!$X$15</f>
        <v>0</v>
      </c>
      <c r="AO26" s="724"/>
      <c r="AP26" s="730">
        <f ca="1">ROUND(AP27,2)/ORÇAMENTO!$X$15</f>
        <v>0</v>
      </c>
      <c r="AQ26" s="730"/>
      <c r="AR26" s="724">
        <f ca="1">ROUND(AR27,2)/ORÇAMENTO!$X$15</f>
        <v>0</v>
      </c>
      <c r="AS26" s="724"/>
      <c r="AT26" s="730">
        <f ca="1">ROUND(AT27,2)/ORÇAMENTO!$X$15</f>
        <v>0</v>
      </c>
      <c r="AU26" s="730"/>
      <c r="AV26" s="724">
        <f ca="1">ROUND(AV27,2)/ORÇAMENTO!$X$15</f>
        <v>0</v>
      </c>
      <c r="AW26" s="724"/>
      <c r="AX26" s="730">
        <f ca="1">ROUND(AX27,2)/ORÇAMENTO!$X$15</f>
        <v>0</v>
      </c>
      <c r="AY26" s="730"/>
      <c r="AZ26" s="724">
        <f ca="1">ROUND(AZ27,2)/ORÇAMENTO!$X$15</f>
        <v>0</v>
      </c>
      <c r="BA26" s="724"/>
      <c r="BB26" s="730">
        <f ca="1">ROUND(BB27,2)/ORÇAMENTO!$X$15</f>
        <v>0</v>
      </c>
      <c r="BC26" s="730"/>
      <c r="BD26" s="724">
        <f ca="1">ROUND(BD27,2)/ORÇAMENTO!$X$15</f>
        <v>0</v>
      </c>
      <c r="BE26" s="724"/>
    </row>
    <row r="27" spans="1:57" x14ac:dyDescent="0.2">
      <c r="A27" s="9" t="s">
        <v>248</v>
      </c>
      <c r="D27" s="729"/>
      <c r="H27" s="348" t="s">
        <v>303</v>
      </c>
      <c r="I27" s="732">
        <f ca="1">IF(I25=1,I29,ROUND(I29,2)-ROUND(SUMIF(CÁLCULO!$FN$15:$HL$33,"&lt;="&amp;PLE!I25-1,CÁLCULO!$BP$15:$DN$33)*(1+CÁLCULO.TotalAdmLocal/(ORÇAMENTO!$X$15-CÁLCULO.TotalAdmLocal)),2))</f>
        <v>0</v>
      </c>
      <c r="J27" s="732"/>
      <c r="K27" s="732">
        <f ca="1">ROUND(K29,2)-ROUND(I29,2)</f>
        <v>0</v>
      </c>
      <c r="L27" s="732"/>
      <c r="M27" s="731">
        <f ca="1">ROUND(M29,2)-ROUND(K29,2)</f>
        <v>0</v>
      </c>
      <c r="N27" s="731"/>
      <c r="O27" s="732">
        <f ca="1">ROUND(O29,2)-ROUND(M29,2)</f>
        <v>0</v>
      </c>
      <c r="P27" s="732"/>
      <c r="Q27" s="731">
        <f ca="1">ROUND(Q29,2)-ROUND(O29,2)</f>
        <v>0</v>
      </c>
      <c r="R27" s="731"/>
      <c r="S27" s="732">
        <f ca="1">ROUND(S29,2)-ROUND(Q29,2)</f>
        <v>0</v>
      </c>
      <c r="T27" s="732"/>
      <c r="U27" s="731">
        <f ca="1">ROUND(U29,2)-ROUND(S29,2)</f>
        <v>0</v>
      </c>
      <c r="V27" s="731"/>
      <c r="W27" s="732">
        <f ca="1">ROUND(W29,2)-ROUND(U29,2)</f>
        <v>0</v>
      </c>
      <c r="X27" s="732"/>
      <c r="Y27" s="731">
        <f ca="1">ROUND(Y29,2)-ROUND(W29,2)</f>
        <v>0</v>
      </c>
      <c r="Z27" s="731"/>
      <c r="AA27" s="732">
        <f ca="1">ROUND(AA29,2)-ROUND(Y29,2)</f>
        <v>0</v>
      </c>
      <c r="AB27" s="732"/>
      <c r="AC27" s="731">
        <f ca="1">ROUND(AC29,2)-ROUND(AA29,2)</f>
        <v>0</v>
      </c>
      <c r="AD27" s="731"/>
      <c r="AE27" s="732">
        <f ca="1">ROUND(AE29,2)-ROUND(AC29,2)</f>
        <v>0</v>
      </c>
      <c r="AF27" s="732"/>
      <c r="AG27" s="348" t="s">
        <v>303</v>
      </c>
      <c r="AH27" s="732">
        <f ca="1">IF(AH25=1,AH29,ROUND(AH29,2)-ROUND(SUMIF(CÁLCULO!$FN$15:$HL$33,"&lt;="&amp;PLE!AH25-1,CÁLCULO!$BP$15:$DN$33)*(1+CÁLCULO.TotalAdmLocal/(ORÇAMENTO!$X$15-CÁLCULO.TotalAdmLocal)),2))</f>
        <v>0</v>
      </c>
      <c r="AI27" s="732"/>
      <c r="AJ27" s="732">
        <f ca="1">ROUND(AJ29,2)-ROUND(AH29,2)</f>
        <v>0</v>
      </c>
      <c r="AK27" s="732"/>
      <c r="AL27" s="731">
        <f ca="1">ROUND(AL29,2)-ROUND(AJ29,2)</f>
        <v>0</v>
      </c>
      <c r="AM27" s="731"/>
      <c r="AN27" s="732">
        <f ca="1">ROUND(AN29,2)-ROUND(AL29,2)</f>
        <v>0</v>
      </c>
      <c r="AO27" s="732"/>
      <c r="AP27" s="731">
        <f ca="1">ROUND(AP29,2)-ROUND(AN29,2)</f>
        <v>0</v>
      </c>
      <c r="AQ27" s="731"/>
      <c r="AR27" s="732">
        <f ca="1">ROUND(AR29,2)-ROUND(AP29,2)</f>
        <v>0</v>
      </c>
      <c r="AS27" s="732"/>
      <c r="AT27" s="731">
        <f ca="1">ROUND(AT29,2)-ROUND(AR29,2)</f>
        <v>0</v>
      </c>
      <c r="AU27" s="731"/>
      <c r="AV27" s="732">
        <f ca="1">ROUND(AV29,2)-ROUND(AT29,2)</f>
        <v>0</v>
      </c>
      <c r="AW27" s="732"/>
      <c r="AX27" s="731">
        <f ca="1">ROUND(AX29,2)-ROUND(AV29,2)</f>
        <v>0</v>
      </c>
      <c r="AY27" s="731"/>
      <c r="AZ27" s="732">
        <f ca="1">ROUND(AZ29,2)-ROUND(AX29,2)</f>
        <v>0</v>
      </c>
      <c r="BA27" s="732"/>
      <c r="BB27" s="731">
        <f ca="1">ROUND(BB29,2)-ROUND(AZ29,2)</f>
        <v>0</v>
      </c>
      <c r="BC27" s="731"/>
      <c r="BD27" s="732">
        <f ca="1">ROUND(BD29,2)-ROUND(BB29,2)</f>
        <v>0</v>
      </c>
      <c r="BE27" s="732"/>
    </row>
    <row r="28" spans="1:57" x14ac:dyDescent="0.2">
      <c r="A28" s="9" t="s">
        <v>248</v>
      </c>
      <c r="D28" s="729" t="s">
        <v>289</v>
      </c>
      <c r="H28" s="347" t="s">
        <v>302</v>
      </c>
      <c r="I28" s="736">
        <f ca="1">ROUND(I29,2)/ORÇAMENTO!$X$15</f>
        <v>0</v>
      </c>
      <c r="J28" s="736"/>
      <c r="K28" s="733">
        <f ca="1">ROUND(K29,2)/ORÇAMENTO!$X$15</f>
        <v>0</v>
      </c>
      <c r="L28" s="733"/>
      <c r="M28" s="734">
        <f ca="1">ROUND(M29,2)/ORÇAMENTO!$X$15</f>
        <v>0</v>
      </c>
      <c r="N28" s="734"/>
      <c r="O28" s="733">
        <f ca="1">ROUND(O29,2)/ORÇAMENTO!$X$15</f>
        <v>0</v>
      </c>
      <c r="P28" s="733"/>
      <c r="Q28" s="734">
        <f ca="1">ROUND(Q29,2)/ORÇAMENTO!$X$15</f>
        <v>0</v>
      </c>
      <c r="R28" s="734"/>
      <c r="S28" s="733">
        <f ca="1">ROUND(S29,2)/ORÇAMENTO!$X$15</f>
        <v>0</v>
      </c>
      <c r="T28" s="733"/>
      <c r="U28" s="734">
        <f ca="1">ROUND(U29,2)/ORÇAMENTO!$X$15</f>
        <v>0</v>
      </c>
      <c r="V28" s="734"/>
      <c r="W28" s="733">
        <f ca="1">ROUND(W29,2)/ORÇAMENTO!$X$15</f>
        <v>0</v>
      </c>
      <c r="X28" s="733"/>
      <c r="Y28" s="734">
        <f ca="1">ROUND(Y29,2)/ORÇAMENTO!$X$15</f>
        <v>0</v>
      </c>
      <c r="Z28" s="734"/>
      <c r="AA28" s="733">
        <f ca="1">ROUND(AA29,2)/ORÇAMENTO!$X$15</f>
        <v>0</v>
      </c>
      <c r="AB28" s="733"/>
      <c r="AC28" s="734">
        <f ca="1">ROUND(AC29,2)/ORÇAMENTO!$X$15</f>
        <v>0</v>
      </c>
      <c r="AD28" s="734"/>
      <c r="AE28" s="733">
        <f ca="1">ROUND(AE29,2)/ORÇAMENTO!$X$15</f>
        <v>0</v>
      </c>
      <c r="AF28" s="733"/>
      <c r="AG28" s="347" t="s">
        <v>302</v>
      </c>
      <c r="AH28" s="736">
        <f ca="1">ROUND(AH29,2)/ORÇAMENTO!$X$15</f>
        <v>0</v>
      </c>
      <c r="AI28" s="736"/>
      <c r="AJ28" s="733">
        <f ca="1">ROUND(AJ29,2)/ORÇAMENTO!$X$15</f>
        <v>0</v>
      </c>
      <c r="AK28" s="733"/>
      <c r="AL28" s="734">
        <f ca="1">ROUND(AL29,2)/ORÇAMENTO!$X$15</f>
        <v>0</v>
      </c>
      <c r="AM28" s="734"/>
      <c r="AN28" s="733">
        <f ca="1">ROUND(AN29,2)/ORÇAMENTO!$X$15</f>
        <v>0</v>
      </c>
      <c r="AO28" s="733"/>
      <c r="AP28" s="734">
        <f ca="1">ROUND(AP29,2)/ORÇAMENTO!$X$15</f>
        <v>0</v>
      </c>
      <c r="AQ28" s="734"/>
      <c r="AR28" s="733">
        <f ca="1">ROUND(AR29,2)/ORÇAMENTO!$X$15</f>
        <v>0</v>
      </c>
      <c r="AS28" s="733"/>
      <c r="AT28" s="734">
        <f ca="1">ROUND(AT29,2)/ORÇAMENTO!$X$15</f>
        <v>0</v>
      </c>
      <c r="AU28" s="734"/>
      <c r="AV28" s="733">
        <f ca="1">ROUND(AV29,2)/ORÇAMENTO!$X$15</f>
        <v>0</v>
      </c>
      <c r="AW28" s="733"/>
      <c r="AX28" s="734">
        <f ca="1">ROUND(AX29,2)/ORÇAMENTO!$X$15</f>
        <v>0</v>
      </c>
      <c r="AY28" s="734"/>
      <c r="AZ28" s="733">
        <f ca="1">ROUND(AZ29,2)/ORÇAMENTO!$X$15</f>
        <v>0</v>
      </c>
      <c r="BA28" s="733"/>
      <c r="BB28" s="734">
        <f ca="1">ROUND(BB29,2)/ORÇAMENTO!$X$15</f>
        <v>0</v>
      </c>
      <c r="BC28" s="734"/>
      <c r="BD28" s="733">
        <f ca="1">ROUND(BD29,2)/ORÇAMENTO!$X$15</f>
        <v>0</v>
      </c>
      <c r="BE28" s="733"/>
    </row>
    <row r="29" spans="1:57" x14ac:dyDescent="0.2">
      <c r="A29" s="9" t="s">
        <v>248</v>
      </c>
      <c r="D29" s="729"/>
      <c r="H29" s="348" t="s">
        <v>303</v>
      </c>
      <c r="I29" s="735">
        <f ca="1">SUMIF(CÁLCULO!$FN$15:$HL$33,"&lt;="&amp;PLE!I25,CÁLCULO!$BP$15:$DN$33)*(1+CÁLCULO.TotalAdmLocal/(ORÇAMENTO!$X$15-CÁLCULO.TotalAdmLocal))</f>
        <v>0</v>
      </c>
      <c r="J29" s="735"/>
      <c r="K29" s="732">
        <f ca="1">SUMIF(CÁLCULO!$FN$15:$HL$33,"&lt;="&amp;PLE!K25,CÁLCULO!$BP$15:$DN$33)*(1+CÁLCULO.TotalAdmLocal/(ORÇAMENTO!$X$15-CÁLCULO.TotalAdmLocal))</f>
        <v>0</v>
      </c>
      <c r="L29" s="732"/>
      <c r="M29" s="731">
        <f ca="1">SUMIF(CÁLCULO!$FN$15:$HL$33,"&lt;="&amp;PLE!M25,CÁLCULO!$BP$15:$DN$33)*(1+CÁLCULO.TotalAdmLocal/(ORÇAMENTO!$X$15-CÁLCULO.TotalAdmLocal))</f>
        <v>0</v>
      </c>
      <c r="N29" s="731"/>
      <c r="O29" s="732">
        <f ca="1">SUMIF(CÁLCULO!$FN$15:$HL$33,"&lt;="&amp;PLE!O25,CÁLCULO!$BP$15:$DN$33)*(1+CÁLCULO.TotalAdmLocal/(ORÇAMENTO!$X$15-CÁLCULO.TotalAdmLocal))</f>
        <v>0</v>
      </c>
      <c r="P29" s="732"/>
      <c r="Q29" s="731">
        <f ca="1">SUMIF(CÁLCULO!$FN$15:$HL$33,"&lt;="&amp;PLE!Q25,CÁLCULO!$BP$15:$DN$33)*(1+CÁLCULO.TotalAdmLocal/(ORÇAMENTO!$X$15-CÁLCULO.TotalAdmLocal))</f>
        <v>0</v>
      </c>
      <c r="R29" s="731"/>
      <c r="S29" s="732">
        <f ca="1">SUMIF(CÁLCULO!$FN$15:$HL$33,"&lt;="&amp;PLE!S25,CÁLCULO!$BP$15:$DN$33)*(1+CÁLCULO.TotalAdmLocal/(ORÇAMENTO!$X$15-CÁLCULO.TotalAdmLocal))</f>
        <v>0</v>
      </c>
      <c r="T29" s="732"/>
      <c r="U29" s="731">
        <f ca="1">SUMIF(CÁLCULO!$FN$15:$HL$33,"&lt;="&amp;PLE!U25,CÁLCULO!$BP$15:$DN$33)*(1+CÁLCULO.TotalAdmLocal/(ORÇAMENTO!$X$15-CÁLCULO.TotalAdmLocal))</f>
        <v>0</v>
      </c>
      <c r="V29" s="731"/>
      <c r="W29" s="732">
        <f ca="1">SUMIF(CÁLCULO!$FN$15:$HL$33,"&lt;="&amp;PLE!W25,CÁLCULO!$BP$15:$DN$33)*(1+CÁLCULO.TotalAdmLocal/(ORÇAMENTO!$X$15-CÁLCULO.TotalAdmLocal))</f>
        <v>0</v>
      </c>
      <c r="X29" s="732"/>
      <c r="Y29" s="731">
        <f ca="1">SUMIF(CÁLCULO!$FN$15:$HL$33,"&lt;="&amp;PLE!Y25,CÁLCULO!$BP$15:$DN$33)*(1+CÁLCULO.TotalAdmLocal/(ORÇAMENTO!$X$15-CÁLCULO.TotalAdmLocal))</f>
        <v>0</v>
      </c>
      <c r="Z29" s="731"/>
      <c r="AA29" s="732">
        <f ca="1">SUMIF(CÁLCULO!$FN$15:$HL$33,"&lt;="&amp;PLE!AA25,CÁLCULO!$BP$15:$DN$33)*(1+CÁLCULO.TotalAdmLocal/(ORÇAMENTO!$X$15-CÁLCULO.TotalAdmLocal))</f>
        <v>0</v>
      </c>
      <c r="AB29" s="732"/>
      <c r="AC29" s="731">
        <f ca="1">SUMIF(CÁLCULO!$FN$15:$HL$33,"&lt;="&amp;PLE!AC25,CÁLCULO!$BP$15:$DN$33)*(1+CÁLCULO.TotalAdmLocal/(ORÇAMENTO!$X$15-CÁLCULO.TotalAdmLocal))</f>
        <v>0</v>
      </c>
      <c r="AD29" s="731"/>
      <c r="AE29" s="732">
        <f ca="1">SUMIF(CÁLCULO!$FN$15:$HL$33,"&lt;="&amp;PLE!AE25,CÁLCULO!$BP$15:$DN$33)*(1+CÁLCULO.TotalAdmLocal/(ORÇAMENTO!$X$15-CÁLCULO.TotalAdmLocal))</f>
        <v>0</v>
      </c>
      <c r="AF29" s="732"/>
      <c r="AG29" s="348" t="s">
        <v>303</v>
      </c>
      <c r="AH29" s="735">
        <f ca="1">SUMIF(CÁLCULO!$FN$15:$HL$33,"&lt;="&amp;PLE!AH25,CÁLCULO!$BP$15:$DN$33)*(1+CÁLCULO.TotalAdmLocal/(ORÇAMENTO!$X$15-CÁLCULO.TotalAdmLocal))</f>
        <v>0</v>
      </c>
      <c r="AI29" s="735"/>
      <c r="AJ29" s="732">
        <f ca="1">SUMIF(CÁLCULO!$FN$15:$HL$33,"&lt;="&amp;PLE!AJ25,CÁLCULO!$BP$15:$DN$33)*(1+CÁLCULO.TotalAdmLocal/(ORÇAMENTO!$X$15-CÁLCULO.TotalAdmLocal))</f>
        <v>0</v>
      </c>
      <c r="AK29" s="732"/>
      <c r="AL29" s="731">
        <f ca="1">SUMIF(CÁLCULO!$FN$15:$HL$33,"&lt;="&amp;PLE!AL25,CÁLCULO!$BP$15:$DN$33)*(1+CÁLCULO.TotalAdmLocal/(ORÇAMENTO!$X$15-CÁLCULO.TotalAdmLocal))</f>
        <v>0</v>
      </c>
      <c r="AM29" s="731"/>
      <c r="AN29" s="732">
        <f ca="1">SUMIF(CÁLCULO!$FN$15:$HL$33,"&lt;="&amp;PLE!AN25,CÁLCULO!$BP$15:$DN$33)*(1+CÁLCULO.TotalAdmLocal/(ORÇAMENTO!$X$15-CÁLCULO.TotalAdmLocal))</f>
        <v>0</v>
      </c>
      <c r="AO29" s="732"/>
      <c r="AP29" s="731">
        <f ca="1">SUMIF(CÁLCULO!$FN$15:$HL$33,"&lt;="&amp;PLE!AP25,CÁLCULO!$BP$15:$DN$33)*(1+CÁLCULO.TotalAdmLocal/(ORÇAMENTO!$X$15-CÁLCULO.TotalAdmLocal))</f>
        <v>0</v>
      </c>
      <c r="AQ29" s="731"/>
      <c r="AR29" s="732">
        <f ca="1">SUMIF(CÁLCULO!$FN$15:$HL$33,"&lt;="&amp;PLE!AR25,CÁLCULO!$BP$15:$DN$33)*(1+CÁLCULO.TotalAdmLocal/(ORÇAMENTO!$X$15-CÁLCULO.TotalAdmLocal))</f>
        <v>0</v>
      </c>
      <c r="AS29" s="732"/>
      <c r="AT29" s="731">
        <f ca="1">SUMIF(CÁLCULO!$FN$15:$HL$33,"&lt;="&amp;PLE!AT25,CÁLCULO!$BP$15:$DN$33)*(1+CÁLCULO.TotalAdmLocal/(ORÇAMENTO!$X$15-CÁLCULO.TotalAdmLocal))</f>
        <v>0</v>
      </c>
      <c r="AU29" s="731"/>
      <c r="AV29" s="732">
        <f ca="1">SUMIF(CÁLCULO!$FN$15:$HL$33,"&lt;="&amp;PLE!AV25,CÁLCULO!$BP$15:$DN$33)*(1+CÁLCULO.TotalAdmLocal/(ORÇAMENTO!$X$15-CÁLCULO.TotalAdmLocal))</f>
        <v>0</v>
      </c>
      <c r="AW29" s="732"/>
      <c r="AX29" s="731">
        <f ca="1">SUMIF(CÁLCULO!$FN$15:$HL$33,"&lt;="&amp;PLE!AX25,CÁLCULO!$BP$15:$DN$33)*(1+CÁLCULO.TotalAdmLocal/(ORÇAMENTO!$X$15-CÁLCULO.TotalAdmLocal))</f>
        <v>0</v>
      </c>
      <c r="AY29" s="731"/>
      <c r="AZ29" s="732">
        <f ca="1">SUMIF(CÁLCULO!$FN$15:$HL$33,"&lt;="&amp;PLE!AZ25,CÁLCULO!$BP$15:$DN$33)*(1+CÁLCULO.TotalAdmLocal/(ORÇAMENTO!$X$15-CÁLCULO.TotalAdmLocal))</f>
        <v>0</v>
      </c>
      <c r="BA29" s="732"/>
      <c r="BB29" s="731">
        <f ca="1">SUMIF(CÁLCULO!$FN$15:$HL$33,"&lt;="&amp;PLE!BB25,CÁLCULO!$BP$15:$DN$33)*(1+CÁLCULO.TotalAdmLocal/(ORÇAMENTO!$X$15-CÁLCULO.TotalAdmLocal))</f>
        <v>0</v>
      </c>
      <c r="BC29" s="731"/>
      <c r="BD29" s="732">
        <f ca="1">SUMIF(CÁLCULO!$FN$15:$HL$33,"&lt;="&amp;PLE!BD25,CÁLCULO!$BP$15:$DN$33)*(1+CÁLCULO.TotalAdmLocal/(ORÇAMENTO!$X$15-CÁLCULO.TotalAdmLocal))</f>
        <v>0</v>
      </c>
      <c r="BE29" s="732"/>
    </row>
    <row r="30" spans="1:57" ht="20.25" customHeight="1" x14ac:dyDescent="0.2">
      <c r="A30" s="9" t="s">
        <v>248</v>
      </c>
    </row>
    <row r="31" spans="1:57" ht="15" x14ac:dyDescent="0.2">
      <c r="A31" s="9" t="s">
        <v>248</v>
      </c>
      <c r="B31" s="713" t="str">
        <f>Import.Município</f>
        <v>CONCEIÇÃO DOS OUROS/MG</v>
      </c>
      <c r="C31" s="713"/>
      <c r="D31" s="713"/>
      <c r="E31" s="100"/>
      <c r="K31" s="100"/>
      <c r="U31" s="171"/>
      <c r="V31" s="171"/>
      <c r="W31" s="171"/>
      <c r="X31" s="171"/>
      <c r="Y31" s="224"/>
      <c r="Z31" s="224"/>
      <c r="AA31" s="224"/>
      <c r="AB31" s="224"/>
      <c r="AC31" s="224"/>
      <c r="AD31" s="224"/>
      <c r="AJ31" s="100"/>
      <c r="AT31" s="171"/>
      <c r="AU31" s="171"/>
      <c r="AV31" s="171"/>
      <c r="AW31" s="171"/>
      <c r="AX31" s="224"/>
      <c r="AY31" s="224"/>
      <c r="AZ31" s="224"/>
      <c r="BA31" s="224"/>
      <c r="BB31" s="224"/>
      <c r="BC31" s="224"/>
    </row>
    <row r="32" spans="1:57" x14ac:dyDescent="0.2">
      <c r="A32" s="9" t="s">
        <v>248</v>
      </c>
      <c r="B32" s="12" t="s">
        <v>190</v>
      </c>
      <c r="C32" s="100"/>
      <c r="D32" s="100"/>
      <c r="E32" s="100"/>
      <c r="K32" s="100"/>
      <c r="U32" s="225" t="s">
        <v>304</v>
      </c>
      <c r="V32" s="100"/>
      <c r="W32" s="100"/>
      <c r="X32" s="100"/>
      <c r="AJ32" s="100"/>
      <c r="AT32" s="225" t="s">
        <v>304</v>
      </c>
      <c r="AU32" s="100"/>
      <c r="AV32" s="100"/>
      <c r="AW32" s="100"/>
    </row>
    <row r="33" spans="1:49" x14ac:dyDescent="0.2">
      <c r="A33" s="9" t="s">
        <v>248</v>
      </c>
      <c r="B33" s="100"/>
      <c r="C33" s="100"/>
      <c r="D33" s="100"/>
      <c r="E33" s="100"/>
      <c r="I33" s="92"/>
      <c r="K33" s="100"/>
      <c r="U33" s="90" t="s">
        <v>109</v>
      </c>
      <c r="W33" s="349" t="str">
        <f t="array" ref="W33:W36">Import.RespFiscalização</f>
        <v>JOSÉ AIRTON JUNHO DOS REIS</v>
      </c>
      <c r="X33" s="100"/>
      <c r="AH33" s="92"/>
      <c r="AJ33" s="100"/>
      <c r="AT33" s="90" t="s">
        <v>109</v>
      </c>
      <c r="AV33" s="349" t="str">
        <f t="array" ref="AV33:AV36">Import.RespFiscalização</f>
        <v>JOSÉ AIRTON JUNHO DOS REIS</v>
      </c>
      <c r="AW33" s="100"/>
    </row>
    <row r="34" spans="1:49" x14ac:dyDescent="0.2">
      <c r="A34" s="9" t="s">
        <v>248</v>
      </c>
      <c r="B34" s="708">
        <f>DADOS!$F$47</f>
        <v>0</v>
      </c>
      <c r="C34" s="708"/>
      <c r="D34" s="708"/>
      <c r="E34" s="100"/>
      <c r="I34" s="92"/>
      <c r="K34" s="100"/>
      <c r="U34" s="90" t="s">
        <v>128</v>
      </c>
      <c r="W34" s="349" t="str">
        <v>ENGENHEIRO CIVIL</v>
      </c>
      <c r="X34" s="100"/>
      <c r="AH34" s="92"/>
      <c r="AJ34" s="100"/>
      <c r="AT34" s="90" t="s">
        <v>128</v>
      </c>
      <c r="AV34" s="349" t="str">
        <v>ENGENHEIRO CIVIL</v>
      </c>
      <c r="AW34" s="100"/>
    </row>
    <row r="35" spans="1:49" x14ac:dyDescent="0.2">
      <c r="A35" s="9" t="s">
        <v>248</v>
      </c>
      <c r="B35" s="173" t="s">
        <v>191</v>
      </c>
      <c r="C35" s="174"/>
      <c r="D35" s="174"/>
      <c r="E35" s="100"/>
      <c r="I35" s="92"/>
      <c r="K35" s="100"/>
      <c r="U35" s="90" t="s">
        <v>110</v>
      </c>
      <c r="W35" s="349" t="str">
        <v>56.250/D</v>
      </c>
      <c r="X35" s="100"/>
      <c r="AH35" s="92"/>
      <c r="AJ35" s="100"/>
      <c r="AT35" s="90" t="s">
        <v>110</v>
      </c>
      <c r="AV35" s="349" t="str">
        <v>56.250/D</v>
      </c>
      <c r="AW35" s="100"/>
    </row>
    <row r="36" spans="1:49" x14ac:dyDescent="0.2">
      <c r="U36" s="90" t="s">
        <v>111</v>
      </c>
      <c r="W36" s="350" t="str">
        <v>MG20242788680</v>
      </c>
      <c r="AT36" s="90" t="s">
        <v>111</v>
      </c>
      <c r="AV36" s="350" t="str">
        <v>MG20242788680</v>
      </c>
    </row>
  </sheetData>
  <sheetProtection password="BD1F" sheet="1" objects="1" scenarios="1" autoFilter="0"/>
  <autoFilter ref="A13:A35"/>
  <mergeCells count="183">
    <mergeCell ref="C16:D16"/>
    <mergeCell ref="AV29:AW29"/>
    <mergeCell ref="AX29:AY29"/>
    <mergeCell ref="AZ29:BA29"/>
    <mergeCell ref="BB29:BC29"/>
    <mergeCell ref="BD29:BE29"/>
    <mergeCell ref="AZ28:BA28"/>
    <mergeCell ref="BB28:BC28"/>
    <mergeCell ref="BD28:BE28"/>
    <mergeCell ref="AX28:AY28"/>
    <mergeCell ref="AH29:AI29"/>
    <mergeCell ref="AJ29:AK29"/>
    <mergeCell ref="AL29:AM29"/>
    <mergeCell ref="AN29:AO29"/>
    <mergeCell ref="AP29:AQ29"/>
    <mergeCell ref="AR29:AS29"/>
    <mergeCell ref="AT29:AU29"/>
    <mergeCell ref="BD27:BE27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R27:AS27"/>
    <mergeCell ref="AT27:AU27"/>
    <mergeCell ref="AV27:AW27"/>
    <mergeCell ref="AX27:AY27"/>
    <mergeCell ref="AZ27:BA27"/>
    <mergeCell ref="BB27:BC27"/>
    <mergeCell ref="AV26:AW26"/>
    <mergeCell ref="AX26:AY26"/>
    <mergeCell ref="AZ26:BA26"/>
    <mergeCell ref="BB26:BC26"/>
    <mergeCell ref="BD26:BE26"/>
    <mergeCell ref="AH27:AI27"/>
    <mergeCell ref="AJ27:AK27"/>
    <mergeCell ref="AL27:AM27"/>
    <mergeCell ref="AN27:AO27"/>
    <mergeCell ref="AP27:AQ27"/>
    <mergeCell ref="AZ25:BA25"/>
    <mergeCell ref="BB25:BC25"/>
    <mergeCell ref="BD25:BE25"/>
    <mergeCell ref="AH26:AI26"/>
    <mergeCell ref="AJ26:AK26"/>
    <mergeCell ref="AL26:AM26"/>
    <mergeCell ref="AN26:AO26"/>
    <mergeCell ref="AP26:AQ26"/>
    <mergeCell ref="AR26:AS26"/>
    <mergeCell ref="AT26:AU26"/>
    <mergeCell ref="BD24:BE24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R24:AS24"/>
    <mergeCell ref="AT24:AU24"/>
    <mergeCell ref="AV24:AW24"/>
    <mergeCell ref="AX24:AY24"/>
    <mergeCell ref="AZ24:BA24"/>
    <mergeCell ref="BB24:BC24"/>
    <mergeCell ref="AI9:AJ9"/>
    <mergeCell ref="AM9:AS9"/>
    <mergeCell ref="AX9:AY9"/>
    <mergeCell ref="BD9:BE9"/>
    <mergeCell ref="AH23:BE23"/>
    <mergeCell ref="AH24:AI24"/>
    <mergeCell ref="AJ24:AK24"/>
    <mergeCell ref="AL24:AM24"/>
    <mergeCell ref="AN24:AO24"/>
    <mergeCell ref="AP24:AQ24"/>
    <mergeCell ref="BC3:BE3"/>
    <mergeCell ref="BC4:BE4"/>
    <mergeCell ref="BD6:BE6"/>
    <mergeCell ref="AG7:AM7"/>
    <mergeCell ref="AN7:AT7"/>
    <mergeCell ref="AU7:BC7"/>
    <mergeCell ref="BD7:BE7"/>
    <mergeCell ref="C15:D15"/>
    <mergeCell ref="C1:D1"/>
    <mergeCell ref="AD3:AF3"/>
    <mergeCell ref="AD4:AF4"/>
    <mergeCell ref="AE6:AF6"/>
    <mergeCell ref="H7:N7"/>
    <mergeCell ref="O7:U7"/>
    <mergeCell ref="C11:D11"/>
    <mergeCell ref="C12:D13"/>
    <mergeCell ref="AE9:AF9"/>
    <mergeCell ref="Q25:R25"/>
    <mergeCell ref="J9:K9"/>
    <mergeCell ref="N9:T9"/>
    <mergeCell ref="B7:C7"/>
    <mergeCell ref="Q24:R24"/>
    <mergeCell ref="S24:T24"/>
    <mergeCell ref="M24:N24"/>
    <mergeCell ref="I23:AF23"/>
    <mergeCell ref="B12:B13"/>
    <mergeCell ref="O24:P24"/>
    <mergeCell ref="Y25:Z25"/>
    <mergeCell ref="C17:D17"/>
    <mergeCell ref="AE26:AF26"/>
    <mergeCell ref="AA24:AB24"/>
    <mergeCell ref="Y24:Z24"/>
    <mergeCell ref="AE25:AF25"/>
    <mergeCell ref="AC25:AD25"/>
    <mergeCell ref="AA25:AB25"/>
    <mergeCell ref="U25:V25"/>
    <mergeCell ref="Q26:R26"/>
    <mergeCell ref="S26:T26"/>
    <mergeCell ref="S25:T25"/>
    <mergeCell ref="AE7:AF7"/>
    <mergeCell ref="U24:V24"/>
    <mergeCell ref="AE24:AF24"/>
    <mergeCell ref="AC24:AD24"/>
    <mergeCell ref="W24:X24"/>
    <mergeCell ref="V7:AD7"/>
    <mergeCell ref="Y9:Z9"/>
    <mergeCell ref="U26:V26"/>
    <mergeCell ref="K27:L27"/>
    <mergeCell ref="I27:J27"/>
    <mergeCell ref="AC28:AD28"/>
    <mergeCell ref="AA28:AB28"/>
    <mergeCell ref="Y27:Z27"/>
    <mergeCell ref="U27:V27"/>
    <mergeCell ref="O28:P28"/>
    <mergeCell ref="O27:P27"/>
    <mergeCell ref="Q27:R27"/>
    <mergeCell ref="B34:D34"/>
    <mergeCell ref="B31:D31"/>
    <mergeCell ref="D28:D29"/>
    <mergeCell ref="M28:N28"/>
    <mergeCell ref="M29:N29"/>
    <mergeCell ref="I29:J29"/>
    <mergeCell ref="K29:L29"/>
    <mergeCell ref="K28:L28"/>
    <mergeCell ref="I28:J28"/>
    <mergeCell ref="AE28:AF28"/>
    <mergeCell ref="Q28:R28"/>
    <mergeCell ref="W27:X27"/>
    <mergeCell ref="O29:P29"/>
    <mergeCell ref="S28:T28"/>
    <mergeCell ref="S29:T29"/>
    <mergeCell ref="AC29:AD29"/>
    <mergeCell ref="AE27:AF27"/>
    <mergeCell ref="AE29:AF29"/>
    <mergeCell ref="Q29:R29"/>
    <mergeCell ref="Y29:Z29"/>
    <mergeCell ref="AA29:AB29"/>
    <mergeCell ref="AA26:AB26"/>
    <mergeCell ref="W29:X29"/>
    <mergeCell ref="W28:X28"/>
    <mergeCell ref="U28:V28"/>
    <mergeCell ref="Y28:Z28"/>
    <mergeCell ref="U29:V29"/>
    <mergeCell ref="Y26:Z26"/>
    <mergeCell ref="W26:X26"/>
    <mergeCell ref="C20:D20"/>
    <mergeCell ref="AC26:AD26"/>
    <mergeCell ref="AC27:AD27"/>
    <mergeCell ref="K25:L25"/>
    <mergeCell ref="M25:N25"/>
    <mergeCell ref="O25:P25"/>
    <mergeCell ref="W25:X25"/>
    <mergeCell ref="M27:N27"/>
    <mergeCell ref="AA27:AB27"/>
    <mergeCell ref="S27:T27"/>
    <mergeCell ref="C18:D18"/>
    <mergeCell ref="C19:D19"/>
    <mergeCell ref="O26:P26"/>
    <mergeCell ref="K24:L24"/>
    <mergeCell ref="K26:L26"/>
    <mergeCell ref="I25:J25"/>
    <mergeCell ref="I26:J26"/>
    <mergeCell ref="I24:J24"/>
    <mergeCell ref="D26:D27"/>
    <mergeCell ref="M26:N26"/>
  </mergeCells>
  <phoneticPr fontId="40" type="noConversion"/>
  <conditionalFormatting sqref="F1:F2">
    <cfRule type="expression" dxfId="132" priority="423" stopIfTrue="1">
      <formula>IF(OR(ACOMPANHAMENTO="BM",F$12&gt;CÁLCULO.NúmeroDeFrentes),TRUE,PLE.ValorDoEvento=0)</formula>
    </cfRule>
    <cfRule type="cellIs" dxfId="131" priority="424" stopIfTrue="1" operator="equal">
      <formula>$J$9</formula>
    </cfRule>
  </conditionalFormatting>
  <conditionalFormatting sqref="I26:BE26">
    <cfRule type="expression" dxfId="130" priority="425" stopIfTrue="1">
      <formula>I25=$J$9</formula>
    </cfRule>
  </conditionalFormatting>
  <conditionalFormatting sqref="I27:BE27">
    <cfRule type="expression" dxfId="129" priority="426" stopIfTrue="1">
      <formula>I25=$J$9</formula>
    </cfRule>
  </conditionalFormatting>
  <conditionalFormatting sqref="I28:BE28">
    <cfRule type="expression" dxfId="128" priority="427" stopIfTrue="1">
      <formula>I25=$J$9</formula>
    </cfRule>
  </conditionalFormatting>
  <conditionalFormatting sqref="I29:BE29">
    <cfRule type="expression" dxfId="127" priority="428" stopIfTrue="1">
      <formula>I25=$J$9</formula>
    </cfRule>
  </conditionalFormatting>
  <conditionalFormatting sqref="I25:J25">
    <cfRule type="cellIs" dxfId="126" priority="422" stopIfTrue="1" operator="notEqual">
      <formula>1</formula>
    </cfRule>
  </conditionalFormatting>
  <conditionalFormatting sqref="H1:BE1">
    <cfRule type="expression" dxfId="125" priority="440" stopIfTrue="1">
      <formula>IF(OR(ACOMPANHAMENTO="BM",TIPOORCAMENTO="Proposto",H$12&gt;CÁLCULO.NúmeroDeFrentes),TRUE,PLE.ValorDoEvento=0)</formula>
    </cfRule>
    <cfRule type="cellIs" dxfId="124" priority="441" stopIfTrue="1" operator="equal">
      <formula>$J$9</formula>
    </cfRule>
  </conditionalFormatting>
  <conditionalFormatting sqref="AE6:AE7">
    <cfRule type="expression" dxfId="123" priority="429" stopIfTrue="1">
      <formula>TIPOORCAMENTO&lt;&gt;"Licitado"</formula>
    </cfRule>
  </conditionalFormatting>
  <conditionalFormatting sqref="N9:T9">
    <cfRule type="expression" dxfId="122" priority="430" stopIfTrue="1">
      <formula>COLUMN(N9)&gt;COLUMN($AF$12)</formula>
    </cfRule>
    <cfRule type="expression" dxfId="121" priority="431" stopIfTrue="1">
      <formula>$N$9="DIGITE A DATA DA MEDIÇÃO"</formula>
    </cfRule>
  </conditionalFormatting>
  <conditionalFormatting sqref="I9:M9 U9:BE9">
    <cfRule type="expression" dxfId="120" priority="432" stopIfTrue="1">
      <formula>COLUMN(I9)&gt;COLUMN($AF$12)</formula>
    </cfRule>
  </conditionalFormatting>
  <conditionalFormatting sqref="AH25:AI25">
    <cfRule type="cellIs" dxfId="119" priority="32" stopIfTrue="1" operator="notEqual">
      <formula>1</formula>
    </cfRule>
  </conditionalFormatting>
  <conditionalFormatting sqref="BD6:BD7">
    <cfRule type="expression" dxfId="118" priority="31" stopIfTrue="1">
      <formula>TIPOORCAMENTO&lt;&gt;"Licitado"</formula>
    </cfRule>
  </conditionalFormatting>
  <conditionalFormatting sqref="AM9:AS9">
    <cfRule type="expression" dxfId="117" priority="29" stopIfTrue="1">
      <formula>COLUMN(AM9)&gt;COLUMN($AF$12)</formula>
    </cfRule>
    <cfRule type="expression" dxfId="116" priority="30" stopIfTrue="1">
      <formula>$N$9="DIGITE A DATA DA MEDIÇÃO"</formula>
    </cfRule>
  </conditionalFormatting>
  <conditionalFormatting sqref="F16">
    <cfRule type="expression" dxfId="115" priority="17" stopIfTrue="1">
      <formula>IF(OR(ACOMPANHAMENTO="BM",F$12&gt;CÁLCULO.NúmeroDeFrentes),TRUE,PLE.ValorDoEvento=0)</formula>
    </cfRule>
    <cfRule type="cellIs" dxfId="114" priority="18" stopIfTrue="1" operator="equal">
      <formula>$J$9</formula>
    </cfRule>
  </conditionalFormatting>
  <conditionalFormatting sqref="H16:BE16">
    <cfRule type="expression" dxfId="113" priority="19" stopIfTrue="1">
      <formula>IF(OR(ACOMPANHAMENTO="BM",TIPOORCAMENTO="Proposto",H$12&gt;CÁLCULO.NúmeroDeFrentes),TRUE,PLE.ValorDoEvento=0)</formula>
    </cfRule>
    <cfRule type="cellIs" dxfId="112" priority="20" stopIfTrue="1" operator="equal">
      <formula>$J$9</formula>
    </cfRule>
  </conditionalFormatting>
  <conditionalFormatting sqref="F17">
    <cfRule type="expression" dxfId="111" priority="13" stopIfTrue="1">
      <formula>IF(OR(ACOMPANHAMENTO="BM",F$12&gt;CÁLCULO.NúmeroDeFrentes),TRUE,PLE.ValorDoEvento=0)</formula>
    </cfRule>
    <cfRule type="cellIs" dxfId="110" priority="14" stopIfTrue="1" operator="equal">
      <formula>$J$9</formula>
    </cfRule>
  </conditionalFormatting>
  <conditionalFormatting sqref="H17:BE17">
    <cfRule type="expression" dxfId="109" priority="15" stopIfTrue="1">
      <formula>IF(OR(ACOMPANHAMENTO="BM",TIPOORCAMENTO="Proposto",H$12&gt;CÁLCULO.NúmeroDeFrentes),TRUE,PLE.ValorDoEvento=0)</formula>
    </cfRule>
    <cfRule type="cellIs" dxfId="108" priority="16" stopIfTrue="1" operator="equal">
      <formula>$J$9</formula>
    </cfRule>
  </conditionalFormatting>
  <conditionalFormatting sqref="F18">
    <cfRule type="expression" dxfId="107" priority="9" stopIfTrue="1">
      <formula>IF(OR(ACOMPANHAMENTO="BM",F$12&gt;CÁLCULO.NúmeroDeFrentes),TRUE,PLE.ValorDoEvento=0)</formula>
    </cfRule>
    <cfRule type="cellIs" dxfId="106" priority="10" stopIfTrue="1" operator="equal">
      <formula>$J$9</formula>
    </cfRule>
  </conditionalFormatting>
  <conditionalFormatting sqref="H18:BE18">
    <cfRule type="expression" dxfId="105" priority="11" stopIfTrue="1">
      <formula>IF(OR(ACOMPANHAMENTO="BM",TIPOORCAMENTO="Proposto",H$12&gt;CÁLCULO.NúmeroDeFrentes),TRUE,PLE.ValorDoEvento=0)</formula>
    </cfRule>
    <cfRule type="cellIs" dxfId="104" priority="12" stopIfTrue="1" operator="equal">
      <formula>$J$9</formula>
    </cfRule>
  </conditionalFormatting>
  <conditionalFormatting sqref="F19">
    <cfRule type="expression" dxfId="103" priority="5" stopIfTrue="1">
      <formula>IF(OR(ACOMPANHAMENTO="BM",F$12&gt;CÁLCULO.NúmeroDeFrentes),TRUE,PLE.ValorDoEvento=0)</formula>
    </cfRule>
    <cfRule type="cellIs" dxfId="102" priority="6" stopIfTrue="1" operator="equal">
      <formula>$J$9</formula>
    </cfRule>
  </conditionalFormatting>
  <conditionalFormatting sqref="H19:BE19">
    <cfRule type="expression" dxfId="101" priority="7" stopIfTrue="1">
      <formula>IF(OR(ACOMPANHAMENTO="BM",TIPOORCAMENTO="Proposto",H$12&gt;CÁLCULO.NúmeroDeFrentes),TRUE,PLE.ValorDoEvento=0)</formula>
    </cfRule>
    <cfRule type="cellIs" dxfId="100" priority="8" stopIfTrue="1" operator="equal">
      <formula>$J$9</formula>
    </cfRule>
  </conditionalFormatting>
  <conditionalFormatting sqref="F20">
    <cfRule type="expression" dxfId="99" priority="1" stopIfTrue="1">
      <formula>IF(OR(ACOMPANHAMENTO="BM",F$12&gt;CÁLCULO.NúmeroDeFrentes),TRUE,PLE.ValorDoEvento=0)</formula>
    </cfRule>
    <cfRule type="cellIs" dxfId="98" priority="2" stopIfTrue="1" operator="equal">
      <formula>$J$9</formula>
    </cfRule>
  </conditionalFormatting>
  <conditionalFormatting sqref="H20:BE20">
    <cfRule type="expression" dxfId="97" priority="3" stopIfTrue="1">
      <formula>IF(OR(ACOMPANHAMENTO="BM",TIPOORCAMENTO="Proposto",H$12&gt;CÁLCULO.NúmeroDeFrentes),TRUE,PLE.ValorDoEvento=0)</formula>
    </cfRule>
    <cfRule type="cellIs" dxfId="96" priority="4" stopIfTrue="1" operator="equal">
      <formula>$J$9</formula>
    </cfRule>
  </conditionalFormatting>
  <dataValidations count="3">
    <dataValidation type="whole" operator="greaterThan" allowBlank="1" showErrorMessage="1" sqref="F1:F4 I3:AC4 J9:K9 AI9:AJ9 AH3:BB4 F16:F20">
      <formula1>0</formula1>
      <formula2>0</formula2>
    </dataValidation>
    <dataValidation allowBlank="1" showInputMessage="1" showErrorMessage="1" prompt="Digite a data de medição abaixo dos eventos." sqref="N9:T9 AM9:AS9">
      <formula1>0</formula1>
      <formula2>0</formula2>
    </dataValidation>
    <dataValidation type="whole" operator="equal" allowBlank="1" showErrorMessage="1" errorTitle="Errp de entrada" error="Preencha somente com o número da medição atual." sqref="H1:BE1 H16:BE20">
      <formula1>PLE.Medicao</formula1>
    </dataValidation>
  </dataValidations>
  <printOptions horizontalCentered="1"/>
  <pageMargins left="0.78740157480314998" right="0.78740157480314998" top="0.78740157480314998" bottom="0.78740157480314998" header="0.59055118110236204" footer="0.59055118110236204"/>
  <pageSetup paperSize="9" scale="69" firstPageNumber="0" orientation="landscape" r:id="rId1"/>
  <headerFooter alignWithMargins="0">
    <oddHeader>&amp;C&amp;14I</oddHeader>
    <oddFooter>&amp;LPMv3.0.4&amp;R&amp;P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6" r:id="rId4" name="Botão de rotação 275">
              <controlPr defaultSize="0" print="0" autoFill="0" autoLine="0" autoPict="0">
                <anchor moveWithCells="1" sizeWithCells="1">
                  <from>
                    <xdr:col>11</xdr:col>
                    <xdr:colOff>0</xdr:colOff>
                    <xdr:row>8</xdr:row>
                    <xdr:rowOff>9525</xdr:rowOff>
                  </from>
                  <to>
                    <xdr:col>11</xdr:col>
                    <xdr:colOff>209550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 filterMode="1"/>
  <dimension ref="A1:AR48"/>
  <sheetViews>
    <sheetView showGridLines="0" zoomScale="90" zoomScaleNormal="90" zoomScaleSheetLayoutView="90" workbookViewId="0">
      <pane xSplit="19" ySplit="13" topLeftCell="T14" activePane="bottomRight" state="frozen"/>
      <selection activeCell="F4" sqref="F4"/>
      <selection pane="topRight" activeCell="T4" sqref="T4"/>
      <selection pane="bottomLeft" activeCell="F14" sqref="F14"/>
      <selection pane="bottomRight" activeCell="A29" sqref="A29"/>
    </sheetView>
  </sheetViews>
  <sheetFormatPr defaultRowHeight="12.75" x14ac:dyDescent="0.2"/>
  <cols>
    <col min="1" max="3" width="9.140625" style="234" hidden="1" customWidth="1"/>
    <col min="4" max="4" width="11" style="235" hidden="1" customWidth="1"/>
    <col min="5" max="5" width="19" style="234" hidden="1" customWidth="1"/>
    <col min="6" max="6" width="3.7109375" style="235" customWidth="1"/>
    <col min="7" max="7" width="12.7109375" style="234" customWidth="1"/>
    <col min="8" max="8" width="7.140625" style="235" customWidth="1"/>
    <col min="9" max="9" width="14.5703125" style="235" customWidth="1"/>
    <col min="10" max="10" width="12" style="235" customWidth="1"/>
    <col min="11" max="11" width="11" style="235" customWidth="1"/>
    <col min="12" max="17" width="0" style="234" hidden="1" customWidth="1"/>
    <col min="18" max="18" width="11.42578125" style="236" customWidth="1"/>
    <col min="19" max="19" width="10.7109375" style="236" customWidth="1"/>
    <col min="20" max="43" width="11" style="235" customWidth="1"/>
    <col min="44" max="44" width="0.140625" style="235" customWidth="1"/>
    <col min="45" max="16384" width="9.140625" style="235"/>
  </cols>
  <sheetData>
    <row r="1" spans="1:44" hidden="1" x14ac:dyDescent="0.2">
      <c r="A1" s="234" t="e">
        <f ca="1">OFFSET(A1,-3,0)+1</f>
        <v>#REF!</v>
      </c>
      <c r="B1" s="234" t="e">
        <f ca="1">IF($Q1&lt;&gt;2,0,IF($R1=0,1,IF(E2&gt;0,OFFSET(QCI!$M$13,SUBSTITUTE(E2,".",""),0),OFFSET(ORÇAMENTO!$AA$15,CRONO!$E1,0))/$R1))</f>
        <v>#REF!</v>
      </c>
      <c r="C1" s="234" t="e">
        <f ca="1">IF($Q1&lt;&gt;2,0,IF($R1=0,1,IF(E2&gt;0,OFFSET(QCI!$N$13,SUBSTITUTE(E2,".",""),0),OFFSET(ORÇAMENTO!$AB$15,CRONO!$E1,0))/$R1))</f>
        <v>#REF!</v>
      </c>
      <c r="D1" s="237" t="e">
        <f ca="1">IF(AND($Q1=2,ACOMPANHAMENTO="BM"),D2,D3/$R1)</f>
        <v>#REF!</v>
      </c>
      <c r="E1" s="234" t="e">
        <f ca="1">IF(A1&lt;=ORÇAMENTO.MáximoListaCrono,MATCH(A1,ORÇAMENTO.ListaCrono,0),NA())</f>
        <v>#REF!</v>
      </c>
      <c r="F1" s="234" t="e">
        <f ca="1">IF(AND($E2&lt;&gt;-1,$R1&gt;0),"F","")</f>
        <v>#REF!</v>
      </c>
      <c r="G1" s="238" t="e">
        <f ca="1">IF(OR(R1=0,R1=""),"Linha",IF(AND(OR(ACOMPANHAMENTO="PLE",$Q1&lt;&gt;2),$E2=0),"Linha",1-SUM(T1:AR1)))</f>
        <v>#REF!</v>
      </c>
      <c r="H1" s="239" t="e">
        <f ca="1">IF($E2=0,OFFSET(ORÇAMENTO!O$15,$E1,0),IF($E2&lt;&gt;-1,OFFSET(QCI!$D$13,$E2,0),""))</f>
        <v>#REF!</v>
      </c>
      <c r="I1" s="240" t="e">
        <f ca="1">IF($E2=0,OFFSET(ORÇAMENTO!R$15,$E1,0),IF($E2&lt;&gt;-1,OFFSET(QCI!$G$13,$E2,0),""))</f>
        <v>#REF!</v>
      </c>
      <c r="J1" s="240"/>
      <c r="K1" s="240"/>
      <c r="L1" s="241" t="e">
        <f ca="1">IF($E2=0,OFFSET(ORÇAMENTO!C$15,$E1,0),1)</f>
        <v>#REF!</v>
      </c>
      <c r="M1" s="242" t="e">
        <f ca="1">IF($E2=-1,0,IF(M$13&lt;=$L1,IF(ISERROR(MATCH(M$13,OFFSET($L1,1,0,ROW($L$32)-ROW($L1)-1),0)),ROW($L$32)-ROW($L1)-1,MATCH(M$13,OFFSET($L1,1,0,ROW($L$32)-ROW($L1)-1),0)-1),0))</f>
        <v>#REF!</v>
      </c>
      <c r="N1" s="242" t="e">
        <f ca="1">IF($E2=-1,0,IF(N$13&lt;=$L1,IF(ISERROR(MATCH(N$13,OFFSET($L1,1,0,ROW($L$32)-ROW($L1)-1),0)),ROW($L$32)-ROW($L1)-1,MATCH(N$13,OFFSET($L1,1,0,ROW($L$32)-ROW($L1)-1),0)-1),0))</f>
        <v>#REF!</v>
      </c>
      <c r="O1" s="242" t="e">
        <f ca="1">IF($E2=-1,0,IF(O$13&lt;=$L1,IF(ISERROR(MATCH(O$13,OFFSET($L1,1,0,ROW($L$32)-ROW($L1)-1),0)),ROW($L$32)-ROW($L1)-1,MATCH(O$13,OFFSET($L1,1,0,ROW($L$32)-ROW($L1)-1),0)-1),0))</f>
        <v>#REF!</v>
      </c>
      <c r="P1" s="242" t="e">
        <f ca="1">IF($E2=-1,0,IF(P$13&lt;=$L1,IF(ISERROR(MATCH(P$13,OFFSET($L1,1,0,ROW($L$32)-ROW($L1)-1),0)),ROW($L$32)-ROW($L1)-1,MATCH(P$13,OFFSET($L1,1,0,ROW($L$32)-ROW($L1)-1),0)-1),0))</f>
        <v>#REF!</v>
      </c>
      <c r="Q1" s="242" t="e">
        <f ca="1">MIN(OFFSET(L1,0,1,,L1))</f>
        <v>#REF!</v>
      </c>
      <c r="R1" s="243" t="e">
        <f ca="1">IF($E2=0,OFFSET(ORÇAMENTO!X$15,$E1,0),IF($E2&lt;&gt;-1,OFFSET(QCI!$O$13,$E2,0),""))</f>
        <v>#REF!</v>
      </c>
      <c r="S1" s="244" t="s">
        <v>272</v>
      </c>
      <c r="T1" s="245" t="e">
        <f t="shared" ref="T1:AE1" ca="1" si="0">IF(AND($Q1=2,ACOMPANHAMENTO="BM"),T2,T3/$R1)</f>
        <v>#REF!</v>
      </c>
      <c r="U1" s="237" t="e">
        <f t="shared" ca="1" si="0"/>
        <v>#REF!</v>
      </c>
      <c r="V1" s="237" t="e">
        <f t="shared" ca="1" si="0"/>
        <v>#REF!</v>
      </c>
      <c r="W1" s="237" t="e">
        <f t="shared" ca="1" si="0"/>
        <v>#REF!</v>
      </c>
      <c r="X1" s="237" t="e">
        <f t="shared" ca="1" si="0"/>
        <v>#REF!</v>
      </c>
      <c r="Y1" s="237" t="e">
        <f t="shared" ca="1" si="0"/>
        <v>#REF!</v>
      </c>
      <c r="Z1" s="237" t="e">
        <f t="shared" ca="1" si="0"/>
        <v>#REF!</v>
      </c>
      <c r="AA1" s="237" t="e">
        <f t="shared" ca="1" si="0"/>
        <v>#REF!</v>
      </c>
      <c r="AB1" s="237" t="e">
        <f t="shared" ca="1" si="0"/>
        <v>#REF!</v>
      </c>
      <c r="AC1" s="237" t="e">
        <f t="shared" ca="1" si="0"/>
        <v>#REF!</v>
      </c>
      <c r="AD1" s="237" t="e">
        <f t="shared" ca="1" si="0"/>
        <v>#REF!</v>
      </c>
      <c r="AE1" s="246" t="e">
        <f t="shared" ca="1" si="0"/>
        <v>#REF!</v>
      </c>
      <c r="AF1" s="245" t="e">
        <f t="shared" ref="AF1:AQ1" ca="1" si="1">IF(AND($Q1=2,ACOMPANHAMENTO="BM"),AF2,AF3/$R1)</f>
        <v>#REF!</v>
      </c>
      <c r="AG1" s="237" t="e">
        <f t="shared" ca="1" si="1"/>
        <v>#REF!</v>
      </c>
      <c r="AH1" s="237" t="e">
        <f t="shared" ca="1" si="1"/>
        <v>#REF!</v>
      </c>
      <c r="AI1" s="237" t="e">
        <f t="shared" ca="1" si="1"/>
        <v>#REF!</v>
      </c>
      <c r="AJ1" s="237" t="e">
        <f t="shared" ca="1" si="1"/>
        <v>#REF!</v>
      </c>
      <c r="AK1" s="237" t="e">
        <f t="shared" ca="1" si="1"/>
        <v>#REF!</v>
      </c>
      <c r="AL1" s="237" t="e">
        <f t="shared" ca="1" si="1"/>
        <v>#REF!</v>
      </c>
      <c r="AM1" s="237" t="e">
        <f t="shared" ca="1" si="1"/>
        <v>#REF!</v>
      </c>
      <c r="AN1" s="237" t="e">
        <f t="shared" ca="1" si="1"/>
        <v>#REF!</v>
      </c>
      <c r="AO1" s="237" t="e">
        <f t="shared" ca="1" si="1"/>
        <v>#REF!</v>
      </c>
      <c r="AP1" s="237" t="e">
        <f t="shared" ca="1" si="1"/>
        <v>#REF!</v>
      </c>
      <c r="AQ1" s="246" t="e">
        <f t="shared" ca="1" si="1"/>
        <v>#REF!</v>
      </c>
    </row>
    <row r="2" spans="1:44" ht="12.75" hidden="1" customHeight="1" x14ac:dyDescent="0.2">
      <c r="D2" s="654"/>
      <c r="E2" s="234" t="e">
        <f ca="1">IF(ISERROR(E1),IF(1+COUNTIF($L$13:OFFSET(L1,-1,0),1)&lt;=MAX(QCI!$D$13:$D$23),1+COUNTIF($L$13:OFFSET(L1,-1,0),1),-1),0)</f>
        <v>#REF!</v>
      </c>
      <c r="F2" s="234" t="e">
        <f ca="1">IF(AND($E2&lt;&gt;-1,$R1&gt;0),"F","")</f>
        <v>#REF!</v>
      </c>
      <c r="G2" s="247" t="e">
        <f ca="1">IF(OR(R1=0,R1=""),"vazia",IF(AND(OR(ACOMPANHAMENTO="PLE",$Q1&lt;&gt;2),$E2=0),"calculada","--&gt;"))</f>
        <v>#REF!</v>
      </c>
      <c r="H2" s="248"/>
      <c r="I2" s="249" t="e">
        <f ca="1">IF(AND(G1&lt;&gt;0,ISNUMBER(G1)),"PREENCHA ESTA LINHA --&gt;","")</f>
        <v>#REF!</v>
      </c>
      <c r="J2" s="249"/>
      <c r="K2" s="249"/>
      <c r="L2" s="250"/>
      <c r="M2" s="250"/>
      <c r="N2" s="250"/>
      <c r="O2" s="250"/>
      <c r="P2" s="250"/>
      <c r="Q2" s="250"/>
      <c r="R2" s="251"/>
      <c r="S2" s="252"/>
      <c r="T2" s="655"/>
      <c r="U2" s="654"/>
      <c r="V2" s="654"/>
      <c r="W2" s="654"/>
      <c r="X2" s="654"/>
      <c r="Y2" s="654"/>
      <c r="Z2" s="654"/>
      <c r="AA2" s="654"/>
      <c r="AB2" s="654"/>
      <c r="AC2" s="654"/>
      <c r="AD2" s="654"/>
      <c r="AE2" s="656"/>
      <c r="AF2" s="655"/>
      <c r="AG2" s="654"/>
      <c r="AH2" s="654"/>
      <c r="AI2" s="654"/>
      <c r="AJ2" s="654"/>
      <c r="AK2" s="654"/>
      <c r="AL2" s="654"/>
      <c r="AM2" s="654"/>
      <c r="AN2" s="654"/>
      <c r="AO2" s="654"/>
      <c r="AP2" s="654"/>
      <c r="AQ2" s="656"/>
      <c r="AR2" s="614"/>
    </row>
    <row r="3" spans="1:44" ht="0.2" hidden="1" customHeight="1" x14ac:dyDescent="0.2">
      <c r="D3" s="253" t="e">
        <f ca="1">IF($Q1=2,IF(AND(ACOMPANHAMENTO="PLE",ISNUMBER($E1)),SUMIF((OFFSET(CÁLCULO!$DO$15:$FM$15,$E1,0,OFFSET(ORÇAMENTO!$D$15,CRONO!$E1,0))),"="&amp;CRONO!D$12,OFFSET(CÁLCULO!$BP$15:$DN$15,$E1,0,OFFSET(ORÇAMENTO!$D$15,CRONO!$E1,0)))+IF(AND($E3&lt;&gt;"",$E3&lt;&gt;0),SUMIF(CÁLCULO!$DO$15:$FM$33,"="&amp;CRONO!D$12,CÁLCULO!$BP$15:$DN$33)/(ORÇAMENTO!$X$15-CÁLCULO.TotalAdmLocal)*CRONO!$E3,0),D2*$R1),SUMIF(OFFSET($R3,1,0,$Q1-2),($L1+1)&amp;"$",OFFSET(D3,1,0,$Q1-2)))</f>
        <v>#REF!</v>
      </c>
      <c r="E3" s="234" t="e">
        <f ca="1">IF(OR($Q1&lt;&gt;2,AUTOEVENTO&lt;&gt;"manual",$E2&gt;0),"",SUMIF(OFFSET(CÁLCULO!$M$15,CRONO!$E1,0,OFFSET(ORÇAMENTO!$D$15,CRONO!$E1,0)),1,OFFSET(ORÇAMENTO!$X$15,CRONO!$E1,0,OFFSET(ORÇAMENTO!$D$15,CRONO!$E1,0))))</f>
        <v>#REF!</v>
      </c>
      <c r="G3" s="254"/>
      <c r="R3" s="255" t="e">
        <f ca="1">L1&amp;"$"</f>
        <v>#REF!</v>
      </c>
      <c r="S3" s="256"/>
      <c r="T3" s="257" t="e">
        <f ca="1">IF($Q1=2,IF(AND(ACOMPANHAMENTO="PLE",ISNUMBER($E1)),SUMIF((OFFSET(CÁLCULO!$DO$15:$FM$15,$E1,0,OFFSET(ORÇAMENTO!$D$15,CRONO!$E1,0))),"&lt;="&amp;CRONO!T$12,OFFSET(CÁLCULO!$BP$15:$DN$15,$E1,0,OFFSET(ORÇAMENTO!$D$15,CRONO!$E1,0)))+IF(AND($E3&lt;&gt;"",$E3&lt;&gt;0),SUMIF(CÁLCULO!$DO$15:$FM$33,"&lt;="&amp;CRONO!T$12,CÁLCULO!$BP$15:$DN$33)/(ORÇAMENTO!$X$15-CÁLCULO.TotalAdmLocal)*CRONO!$E3,0),T2*$R1),SUMIF(OFFSET($R3,1,0,$Q1-2),($L1+1)&amp;"$",OFFSET(T3,1,0,$Q1-2)))</f>
        <v>#REF!</v>
      </c>
      <c r="U3" s="253" t="e">
        <f ca="1">IF($Q1=2,IF(AND(ACOMPANHAMENTO="PLE",ISNUMBER($E1)),SUMIF((OFFSET(CÁLCULO!$DO$15:$FM$15,$E1,0,OFFSET(ORÇAMENTO!$D$15,CRONO!$E1,0))),"="&amp;CRONO!U$12,OFFSET(CÁLCULO!$BP$15:$DN$15,$E1,0,OFFSET(ORÇAMENTO!$D$15,CRONO!$E1,0)))+IF(AND($E3&lt;&gt;"",$E3&lt;&gt;0),SUMIF(CÁLCULO!$DO$15:$FM$33,"="&amp;CRONO!U$12,CÁLCULO!$BP$15:$DN$33)/(ORÇAMENTO!$X$15-CÁLCULO.TotalAdmLocal)*CRONO!$E3,0),U2*$R1),SUMIF(OFFSET($R3,1,0,$Q1-2),($L1+1)&amp;"$",OFFSET(U3,1,0,$Q1-2)))</f>
        <v>#REF!</v>
      </c>
      <c r="V3" s="253" t="e">
        <f ca="1">IF($Q1=2,IF(AND(ACOMPANHAMENTO="PLE",ISNUMBER($E1)),SUMIF((OFFSET(CÁLCULO!$DO$15:$FM$15,$E1,0,OFFSET(ORÇAMENTO!$D$15,CRONO!$E1,0))),"="&amp;CRONO!V$12,OFFSET(CÁLCULO!$BP$15:$DN$15,$E1,0,OFFSET(ORÇAMENTO!$D$15,CRONO!$E1,0)))+IF(AND($E3&lt;&gt;"",$E3&lt;&gt;0),SUMIF(CÁLCULO!$DO$15:$FM$33,"="&amp;CRONO!V$12,CÁLCULO!$BP$15:$DN$33)/(ORÇAMENTO!$X$15-CÁLCULO.TotalAdmLocal)*CRONO!$E3,0),V2*$R1),SUMIF(OFFSET($R3,1,0,$Q1-2),($L1+1)&amp;"$",OFFSET(V3,1,0,$Q1-2)))</f>
        <v>#REF!</v>
      </c>
      <c r="W3" s="253" t="e">
        <f ca="1">IF($Q1=2,IF(AND(ACOMPANHAMENTO="PLE",ISNUMBER($E1)),SUMIF((OFFSET(CÁLCULO!$DO$15:$FM$15,$E1,0,OFFSET(ORÇAMENTO!$D$15,CRONO!$E1,0))),"="&amp;CRONO!W$12,OFFSET(CÁLCULO!$BP$15:$DN$15,$E1,0,OFFSET(ORÇAMENTO!$D$15,CRONO!$E1,0)))+IF(AND($E3&lt;&gt;"",$E3&lt;&gt;0),SUMIF(CÁLCULO!$DO$15:$FM$33,"="&amp;CRONO!W$12,CÁLCULO!$BP$15:$DN$33)/(ORÇAMENTO!$X$15-CÁLCULO.TotalAdmLocal)*CRONO!$E3,0),W2*$R1),SUMIF(OFFSET($R3,1,0,$Q1-2),($L1+1)&amp;"$",OFFSET(W3,1,0,$Q1-2)))</f>
        <v>#REF!</v>
      </c>
      <c r="X3" s="253" t="e">
        <f ca="1">IF($Q1=2,IF(AND(ACOMPANHAMENTO="PLE",ISNUMBER($E1)),SUMIF((OFFSET(CÁLCULO!$DO$15:$FM$15,$E1,0,OFFSET(ORÇAMENTO!$D$15,CRONO!$E1,0))),"="&amp;CRONO!X$12,OFFSET(CÁLCULO!$BP$15:$DN$15,$E1,0,OFFSET(ORÇAMENTO!$D$15,CRONO!$E1,0)))+IF(AND($E3&lt;&gt;"",$E3&lt;&gt;0),SUMIF(CÁLCULO!$DO$15:$FM$33,"="&amp;CRONO!X$12,CÁLCULO!$BP$15:$DN$33)/(ORÇAMENTO!$X$15-CÁLCULO.TotalAdmLocal)*CRONO!$E3,0),X2*$R1),SUMIF(OFFSET($R3,1,0,$Q1-2),($L1+1)&amp;"$",OFFSET(X3,1,0,$Q1-2)))</f>
        <v>#REF!</v>
      </c>
      <c r="Y3" s="253" t="e">
        <f ca="1">IF($Q1=2,IF(AND(ACOMPANHAMENTO="PLE",ISNUMBER($E1)),SUMIF((OFFSET(CÁLCULO!$DO$15:$FM$15,$E1,0,OFFSET(ORÇAMENTO!$D$15,CRONO!$E1,0))),"="&amp;CRONO!Y$12,OFFSET(CÁLCULO!$BP$15:$DN$15,$E1,0,OFFSET(ORÇAMENTO!$D$15,CRONO!$E1,0)))+IF(AND($E3&lt;&gt;"",$E3&lt;&gt;0),SUMIF(CÁLCULO!$DO$15:$FM$33,"="&amp;CRONO!Y$12,CÁLCULO!$BP$15:$DN$33)/(ORÇAMENTO!$X$15-CÁLCULO.TotalAdmLocal)*CRONO!$E3,0),Y2*$R1),SUMIF(OFFSET($R3,1,0,$Q1-2),($L1+1)&amp;"$",OFFSET(Y3,1,0,$Q1-2)))</f>
        <v>#REF!</v>
      </c>
      <c r="Z3" s="253" t="e">
        <f ca="1">IF($Q1=2,IF(AND(ACOMPANHAMENTO="PLE",ISNUMBER($E1)),SUMIF((OFFSET(CÁLCULO!$DO$15:$FM$15,$E1,0,OFFSET(ORÇAMENTO!$D$15,CRONO!$E1,0))),"="&amp;CRONO!Z$12,OFFSET(CÁLCULO!$BP$15:$DN$15,$E1,0,OFFSET(ORÇAMENTO!$D$15,CRONO!$E1,0)))+IF(AND($E3&lt;&gt;"",$E3&lt;&gt;0),SUMIF(CÁLCULO!$DO$15:$FM$33,"="&amp;CRONO!Z$12,CÁLCULO!$BP$15:$DN$33)/(ORÇAMENTO!$X$15-CÁLCULO.TotalAdmLocal)*CRONO!$E3,0),Z2*$R1),SUMIF(OFFSET($R3,1,0,$Q1-2),($L1+1)&amp;"$",OFFSET(Z3,1,0,$Q1-2)))</f>
        <v>#REF!</v>
      </c>
      <c r="AA3" s="253" t="e">
        <f ca="1">IF($Q1=2,IF(AND(ACOMPANHAMENTO="PLE",ISNUMBER($E1)),SUMIF((OFFSET(CÁLCULO!$DO$15:$FM$15,$E1,0,OFFSET(ORÇAMENTO!$D$15,CRONO!$E1,0))),"="&amp;CRONO!AA$12,OFFSET(CÁLCULO!$BP$15:$DN$15,$E1,0,OFFSET(ORÇAMENTO!$D$15,CRONO!$E1,0)))+IF(AND($E3&lt;&gt;"",$E3&lt;&gt;0),SUMIF(CÁLCULO!$DO$15:$FM$33,"="&amp;CRONO!AA$12,CÁLCULO!$BP$15:$DN$33)/(ORÇAMENTO!$X$15-CÁLCULO.TotalAdmLocal)*CRONO!$E3,0),AA2*$R1),SUMIF(OFFSET($R3,1,0,$Q1-2),($L1+1)&amp;"$",OFFSET(AA3,1,0,$Q1-2)))</f>
        <v>#REF!</v>
      </c>
      <c r="AB3" s="253" t="e">
        <f ca="1">IF($Q1=2,IF(AND(ACOMPANHAMENTO="PLE",ISNUMBER($E1)),SUMIF((OFFSET(CÁLCULO!$DO$15:$FM$15,$E1,0,OFFSET(ORÇAMENTO!$D$15,CRONO!$E1,0))),"="&amp;CRONO!AB$12,OFFSET(CÁLCULO!$BP$15:$DN$15,$E1,0,OFFSET(ORÇAMENTO!$D$15,CRONO!$E1,0)))+IF(AND($E3&lt;&gt;"",$E3&lt;&gt;0),SUMIF(CÁLCULO!$DO$15:$FM$33,"="&amp;CRONO!AB$12,CÁLCULO!$BP$15:$DN$33)/(ORÇAMENTO!$X$15-CÁLCULO.TotalAdmLocal)*CRONO!$E3,0),AB2*$R1),SUMIF(OFFSET($R3,1,0,$Q1-2),($L1+1)&amp;"$",OFFSET(AB3,1,0,$Q1-2)))</f>
        <v>#REF!</v>
      </c>
      <c r="AC3" s="253" t="e">
        <f ca="1">IF($Q1=2,IF(AND(ACOMPANHAMENTO="PLE",ISNUMBER($E1)),SUMIF((OFFSET(CÁLCULO!$DO$15:$FM$15,$E1,0,OFFSET(ORÇAMENTO!$D$15,CRONO!$E1,0))),"="&amp;CRONO!AC$12,OFFSET(CÁLCULO!$BP$15:$DN$15,$E1,0,OFFSET(ORÇAMENTO!$D$15,CRONO!$E1,0)))+IF(AND($E3&lt;&gt;"",$E3&lt;&gt;0),SUMIF(CÁLCULO!$DO$15:$FM$33,"="&amp;CRONO!AC$12,CÁLCULO!$BP$15:$DN$33)/(ORÇAMENTO!$X$15-CÁLCULO.TotalAdmLocal)*CRONO!$E3,0),AC2*$R1),SUMIF(OFFSET($R3,1,0,$Q1-2),($L1+1)&amp;"$",OFFSET(AC3,1,0,$Q1-2)))</f>
        <v>#REF!</v>
      </c>
      <c r="AD3" s="253" t="e">
        <f ca="1">IF($Q1=2,IF(AND(ACOMPANHAMENTO="PLE",ISNUMBER($E1)),SUMIF((OFFSET(CÁLCULO!$DO$15:$FM$15,$E1,0,OFFSET(ORÇAMENTO!$D$15,CRONO!$E1,0))),"="&amp;CRONO!AD$12,OFFSET(CÁLCULO!$BP$15:$DN$15,$E1,0,OFFSET(ORÇAMENTO!$D$15,CRONO!$E1,0)))+IF(AND($E3&lt;&gt;"",$E3&lt;&gt;0),SUMIF(CÁLCULO!$DO$15:$FM$33,"="&amp;CRONO!AD$12,CÁLCULO!$BP$15:$DN$33)/(ORÇAMENTO!$X$15-CÁLCULO.TotalAdmLocal)*CRONO!$E3,0),AD2*$R1),SUMIF(OFFSET($R3,1,0,$Q1-2),($L1+1)&amp;"$",OFFSET(AD3,1,0,$Q1-2)))</f>
        <v>#REF!</v>
      </c>
      <c r="AE3" s="258" t="e">
        <f ca="1">IF($Q1=2,IF(AND(ACOMPANHAMENTO="PLE",ISNUMBER($E1)),SUMIF((OFFSET(CÁLCULO!$DO$15:$FM$15,$E1,0,OFFSET(ORÇAMENTO!$D$15,CRONO!$E1,0))),"="&amp;CRONO!AE$12,OFFSET(CÁLCULO!$BP$15:$DN$15,$E1,0,OFFSET(ORÇAMENTO!$D$15,CRONO!$E1,0)))+IF(AND($E3&lt;&gt;"",$E3&lt;&gt;0),SUMIF(CÁLCULO!$DO$15:$FM$33,"="&amp;CRONO!AE$12,CÁLCULO!$BP$15:$DN$33)/(ORÇAMENTO!$X$15-CÁLCULO.TotalAdmLocal)*CRONO!$E3,0),AE2*$R1),SUMIF(OFFSET($R3,1,0,$Q1-2),($L1+1)&amp;"$",OFFSET(AE3,1,0,$Q1-2)))</f>
        <v>#REF!</v>
      </c>
      <c r="AF3" s="257" t="e">
        <f ca="1">IF($Q1=2,IF(AND(ACOMPANHAMENTO="PLE",ISNUMBER($E1)),SUMIF((OFFSET(CÁLCULO!$DO$15:$FM$15,$E1,0,OFFSET(ORÇAMENTO!$D$15,CRONO!$E1,0))),"&lt;="&amp;CRONO!AF$12,OFFSET(CÁLCULO!$BP$15:$DN$15,$E1,0,OFFSET(ORÇAMENTO!$D$15,CRONO!$E1,0)))+IF(AND($E3&lt;&gt;"",$E3&lt;&gt;0),SUMIF(CÁLCULO!$DO$15:$FM$33,"&lt;="&amp;CRONO!AF$12,CÁLCULO!$BP$15:$DN$33)/(ORÇAMENTO!$X$15-CÁLCULO.TotalAdmLocal)*CRONO!$E3,0),AF2*$R1),SUMIF(OFFSET($R3,1,0,$Q1-2),($L1+1)&amp;"$",OFFSET(AF3,1,0,$Q1-2)))</f>
        <v>#REF!</v>
      </c>
      <c r="AG3" s="253" t="e">
        <f ca="1">IF($Q1=2,IF(AND(ACOMPANHAMENTO="PLE",ISNUMBER($E1)),SUMIF((OFFSET(CÁLCULO!$DO$15:$FM$15,$E1,0,OFFSET(ORÇAMENTO!$D$15,CRONO!$E1,0))),"="&amp;CRONO!AG$12,OFFSET(CÁLCULO!$BP$15:$DN$15,$E1,0,OFFSET(ORÇAMENTO!$D$15,CRONO!$E1,0)))+IF(AND($E3&lt;&gt;"",$E3&lt;&gt;0),SUMIF(CÁLCULO!$DO$15:$FM$33,"="&amp;CRONO!AG$12,CÁLCULO!$BP$15:$DN$33)/(ORÇAMENTO!$X$15-CÁLCULO.TotalAdmLocal)*CRONO!$E3,0),AG2*$R1),SUMIF(OFFSET($R3,1,0,$Q1-2),($L1+1)&amp;"$",OFFSET(AG3,1,0,$Q1-2)))</f>
        <v>#REF!</v>
      </c>
      <c r="AH3" s="253" t="e">
        <f ca="1">IF($Q1=2,IF(AND(ACOMPANHAMENTO="PLE",ISNUMBER($E1)),SUMIF((OFFSET(CÁLCULO!$DO$15:$FM$15,$E1,0,OFFSET(ORÇAMENTO!$D$15,CRONO!$E1,0))),"="&amp;CRONO!AH$12,OFFSET(CÁLCULO!$BP$15:$DN$15,$E1,0,OFFSET(ORÇAMENTO!$D$15,CRONO!$E1,0)))+IF(AND($E3&lt;&gt;"",$E3&lt;&gt;0),SUMIF(CÁLCULO!$DO$15:$FM$33,"="&amp;CRONO!AH$12,CÁLCULO!$BP$15:$DN$33)/(ORÇAMENTO!$X$15-CÁLCULO.TotalAdmLocal)*CRONO!$E3,0),AH2*$R1),SUMIF(OFFSET($R3,1,0,$Q1-2),($L1+1)&amp;"$",OFFSET(AH3,1,0,$Q1-2)))</f>
        <v>#REF!</v>
      </c>
      <c r="AI3" s="253" t="e">
        <f ca="1">IF($Q1=2,IF(AND(ACOMPANHAMENTO="PLE",ISNUMBER($E1)),SUMIF((OFFSET(CÁLCULO!$DO$15:$FM$15,$E1,0,OFFSET(ORÇAMENTO!$D$15,CRONO!$E1,0))),"="&amp;CRONO!AI$12,OFFSET(CÁLCULO!$BP$15:$DN$15,$E1,0,OFFSET(ORÇAMENTO!$D$15,CRONO!$E1,0)))+IF(AND($E3&lt;&gt;"",$E3&lt;&gt;0),SUMIF(CÁLCULO!$DO$15:$FM$33,"="&amp;CRONO!AI$12,CÁLCULO!$BP$15:$DN$33)/(ORÇAMENTO!$X$15-CÁLCULO.TotalAdmLocal)*CRONO!$E3,0),AI2*$R1),SUMIF(OFFSET($R3,1,0,$Q1-2),($L1+1)&amp;"$",OFFSET(AI3,1,0,$Q1-2)))</f>
        <v>#REF!</v>
      </c>
      <c r="AJ3" s="253" t="e">
        <f ca="1">IF($Q1=2,IF(AND(ACOMPANHAMENTO="PLE",ISNUMBER($E1)),SUMIF((OFFSET(CÁLCULO!$DO$15:$FM$15,$E1,0,OFFSET(ORÇAMENTO!$D$15,CRONO!$E1,0))),"="&amp;CRONO!AJ$12,OFFSET(CÁLCULO!$BP$15:$DN$15,$E1,0,OFFSET(ORÇAMENTO!$D$15,CRONO!$E1,0)))+IF(AND($E3&lt;&gt;"",$E3&lt;&gt;0),SUMIF(CÁLCULO!$DO$15:$FM$33,"="&amp;CRONO!AJ$12,CÁLCULO!$BP$15:$DN$33)/(ORÇAMENTO!$X$15-CÁLCULO.TotalAdmLocal)*CRONO!$E3,0),AJ2*$R1),SUMIF(OFFSET($R3,1,0,$Q1-2),($L1+1)&amp;"$",OFFSET(AJ3,1,0,$Q1-2)))</f>
        <v>#REF!</v>
      </c>
      <c r="AK3" s="253" t="e">
        <f ca="1">IF($Q1=2,IF(AND(ACOMPANHAMENTO="PLE",ISNUMBER($E1)),SUMIF((OFFSET(CÁLCULO!$DO$15:$FM$15,$E1,0,OFFSET(ORÇAMENTO!$D$15,CRONO!$E1,0))),"="&amp;CRONO!AK$12,OFFSET(CÁLCULO!$BP$15:$DN$15,$E1,0,OFFSET(ORÇAMENTO!$D$15,CRONO!$E1,0)))+IF(AND($E3&lt;&gt;"",$E3&lt;&gt;0),SUMIF(CÁLCULO!$DO$15:$FM$33,"="&amp;CRONO!AK$12,CÁLCULO!$BP$15:$DN$33)/(ORÇAMENTO!$X$15-CÁLCULO.TotalAdmLocal)*CRONO!$E3,0),AK2*$R1),SUMIF(OFFSET($R3,1,0,$Q1-2),($L1+1)&amp;"$",OFFSET(AK3,1,0,$Q1-2)))</f>
        <v>#REF!</v>
      </c>
      <c r="AL3" s="253" t="e">
        <f ca="1">IF($Q1=2,IF(AND(ACOMPANHAMENTO="PLE",ISNUMBER($E1)),SUMIF((OFFSET(CÁLCULO!$DO$15:$FM$15,$E1,0,OFFSET(ORÇAMENTO!$D$15,CRONO!$E1,0))),"="&amp;CRONO!AL$12,OFFSET(CÁLCULO!$BP$15:$DN$15,$E1,0,OFFSET(ORÇAMENTO!$D$15,CRONO!$E1,0)))+IF(AND($E3&lt;&gt;"",$E3&lt;&gt;0),SUMIF(CÁLCULO!$DO$15:$FM$33,"="&amp;CRONO!AL$12,CÁLCULO!$BP$15:$DN$33)/(ORÇAMENTO!$X$15-CÁLCULO.TotalAdmLocal)*CRONO!$E3,0),AL2*$R1),SUMIF(OFFSET($R3,1,0,$Q1-2),($L1+1)&amp;"$",OFFSET(AL3,1,0,$Q1-2)))</f>
        <v>#REF!</v>
      </c>
      <c r="AM3" s="253" t="e">
        <f ca="1">IF($Q1=2,IF(AND(ACOMPANHAMENTO="PLE",ISNUMBER($E1)),SUMIF((OFFSET(CÁLCULO!$DO$15:$FM$15,$E1,0,OFFSET(ORÇAMENTO!$D$15,CRONO!$E1,0))),"="&amp;CRONO!AM$12,OFFSET(CÁLCULO!$BP$15:$DN$15,$E1,0,OFFSET(ORÇAMENTO!$D$15,CRONO!$E1,0)))+IF(AND($E3&lt;&gt;"",$E3&lt;&gt;0),SUMIF(CÁLCULO!$DO$15:$FM$33,"="&amp;CRONO!AM$12,CÁLCULO!$BP$15:$DN$33)/(ORÇAMENTO!$X$15-CÁLCULO.TotalAdmLocal)*CRONO!$E3,0),AM2*$R1),SUMIF(OFFSET($R3,1,0,$Q1-2),($L1+1)&amp;"$",OFFSET(AM3,1,0,$Q1-2)))</f>
        <v>#REF!</v>
      </c>
      <c r="AN3" s="253" t="e">
        <f ca="1">IF($Q1=2,IF(AND(ACOMPANHAMENTO="PLE",ISNUMBER($E1)),SUMIF((OFFSET(CÁLCULO!$DO$15:$FM$15,$E1,0,OFFSET(ORÇAMENTO!$D$15,CRONO!$E1,0))),"="&amp;CRONO!AN$12,OFFSET(CÁLCULO!$BP$15:$DN$15,$E1,0,OFFSET(ORÇAMENTO!$D$15,CRONO!$E1,0)))+IF(AND($E3&lt;&gt;"",$E3&lt;&gt;0),SUMIF(CÁLCULO!$DO$15:$FM$33,"="&amp;CRONO!AN$12,CÁLCULO!$BP$15:$DN$33)/(ORÇAMENTO!$X$15-CÁLCULO.TotalAdmLocal)*CRONO!$E3,0),AN2*$R1),SUMIF(OFFSET($R3,1,0,$Q1-2),($L1+1)&amp;"$",OFFSET(AN3,1,0,$Q1-2)))</f>
        <v>#REF!</v>
      </c>
      <c r="AO3" s="253" t="e">
        <f ca="1">IF($Q1=2,IF(AND(ACOMPANHAMENTO="PLE",ISNUMBER($E1)),SUMIF((OFFSET(CÁLCULO!$DO$15:$FM$15,$E1,0,OFFSET(ORÇAMENTO!$D$15,CRONO!$E1,0))),"="&amp;CRONO!AO$12,OFFSET(CÁLCULO!$BP$15:$DN$15,$E1,0,OFFSET(ORÇAMENTO!$D$15,CRONO!$E1,0)))+IF(AND($E3&lt;&gt;"",$E3&lt;&gt;0),SUMIF(CÁLCULO!$DO$15:$FM$33,"="&amp;CRONO!AO$12,CÁLCULO!$BP$15:$DN$33)/(ORÇAMENTO!$X$15-CÁLCULO.TotalAdmLocal)*CRONO!$E3,0),AO2*$R1),SUMIF(OFFSET($R3,1,0,$Q1-2),($L1+1)&amp;"$",OFFSET(AO3,1,0,$Q1-2)))</f>
        <v>#REF!</v>
      </c>
      <c r="AP3" s="253" t="e">
        <f ca="1">IF($Q1=2,IF(AND(ACOMPANHAMENTO="PLE",ISNUMBER($E1)),SUMIF((OFFSET(CÁLCULO!$DO$15:$FM$15,$E1,0,OFFSET(ORÇAMENTO!$D$15,CRONO!$E1,0))),"="&amp;CRONO!AP$12,OFFSET(CÁLCULO!$BP$15:$DN$15,$E1,0,OFFSET(ORÇAMENTO!$D$15,CRONO!$E1,0)))+IF(AND($E3&lt;&gt;"",$E3&lt;&gt;0),SUMIF(CÁLCULO!$DO$15:$FM$33,"="&amp;CRONO!AP$12,CÁLCULO!$BP$15:$DN$33)/(ORÇAMENTO!$X$15-CÁLCULO.TotalAdmLocal)*CRONO!$E3,0),AP2*$R1),SUMIF(OFFSET($R3,1,0,$Q1-2),($L1+1)&amp;"$",OFFSET(AP3,1,0,$Q1-2)))</f>
        <v>#REF!</v>
      </c>
      <c r="AQ3" s="258" t="e">
        <f ca="1">IF($Q1=2,IF(AND(ACOMPANHAMENTO="PLE",ISNUMBER($E1)),SUMIF((OFFSET(CÁLCULO!$DO$15:$FM$15,$E1,0,OFFSET(ORÇAMENTO!$D$15,CRONO!$E1,0))),"="&amp;CRONO!AQ$12,OFFSET(CÁLCULO!$BP$15:$DN$15,$E1,0,OFFSET(ORÇAMENTO!$D$15,CRONO!$E1,0)))+IF(AND($E3&lt;&gt;"",$E3&lt;&gt;0),SUMIF(CÁLCULO!$DO$15:$FM$33,"="&amp;CRONO!AQ$12,CÁLCULO!$BP$15:$DN$33)/(ORÇAMENTO!$X$15-CÁLCULO.TotalAdmLocal)*CRONO!$E3,0),AQ2*$R1),SUMIF(OFFSET($R3,1,0,$Q1-2),($L1+1)&amp;"$",OFFSET(AQ3,1,0,$Q1-2)))</f>
        <v>#REF!</v>
      </c>
    </row>
    <row r="4" spans="1:44" ht="15" customHeight="1" x14ac:dyDescent="0.25">
      <c r="R4" s="259" t="str">
        <f>IF(TIPOORCAMENTO="licitado","CRONOGRAMA FÍSICO-FINANCEIRO LICITADO","CRONOGRAMA FÍSICO-FINANCEIRO")</f>
        <v>CRONOGRAMA FÍSICO-FINANCEIRO</v>
      </c>
      <c r="AD4" s="699" t="s">
        <v>141</v>
      </c>
      <c r="AE4" s="699"/>
      <c r="AP4" s="699" t="s">
        <v>141</v>
      </c>
      <c r="AQ4" s="699"/>
    </row>
    <row r="5" spans="1:44" ht="15" x14ac:dyDescent="0.2">
      <c r="R5" s="102" t="str">
        <f>import.recurso</f>
        <v>OGU</v>
      </c>
      <c r="AD5" s="700" t="s">
        <v>144</v>
      </c>
      <c r="AE5" s="700"/>
      <c r="AP5" s="700" t="s">
        <v>144</v>
      </c>
      <c r="AQ5" s="700"/>
    </row>
    <row r="6" spans="1:44" ht="12.75" customHeight="1" x14ac:dyDescent="0.2">
      <c r="D6" s="260"/>
      <c r="H6" s="260"/>
      <c r="I6" s="260"/>
      <c r="J6" s="260"/>
      <c r="K6" s="260"/>
      <c r="L6" s="261"/>
      <c r="M6" s="261"/>
      <c r="N6" s="261"/>
      <c r="O6" s="261"/>
      <c r="P6" s="261"/>
      <c r="Q6" s="261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</row>
    <row r="7" spans="1:44" ht="12.75" customHeight="1" x14ac:dyDescent="0.2">
      <c r="D7" s="260"/>
      <c r="E7" s="262"/>
      <c r="G7" s="757" t="s">
        <v>273</v>
      </c>
      <c r="H7" s="263" t="s">
        <v>147</v>
      </c>
      <c r="I7" s="264"/>
      <c r="J7" s="265" t="s">
        <v>148</v>
      </c>
      <c r="K7" s="266" t="s">
        <v>274</v>
      </c>
      <c r="L7" s="260"/>
      <c r="M7" s="260"/>
      <c r="N7" s="260"/>
      <c r="O7" s="261"/>
      <c r="P7" s="261"/>
      <c r="Q7" s="261"/>
      <c r="S7" s="267"/>
      <c r="T7" s="263" t="s">
        <v>275</v>
      </c>
      <c r="U7" s="260"/>
      <c r="V7" s="260"/>
      <c r="W7" s="260"/>
      <c r="X7" s="264"/>
      <c r="Y7" s="263" t="str">
        <f>IF(TIPOORCAMENTO="Licitado","NOME DA EMPRESA","DESCRIÇÃO DO LOTE")</f>
        <v>DESCRIÇÃO DO LOTE</v>
      </c>
      <c r="Z7" s="260"/>
      <c r="AA7" s="260"/>
      <c r="AB7" s="260"/>
      <c r="AC7" s="260"/>
      <c r="AD7" s="260"/>
      <c r="AE7" s="268" t="str">
        <f>IF(TIPOORCAMENTO="Licitado","Nº CTEF","")</f>
        <v/>
      </c>
      <c r="AF7" s="263" t="s">
        <v>275</v>
      </c>
      <c r="AG7" s="260"/>
      <c r="AH7" s="260"/>
      <c r="AI7" s="260"/>
      <c r="AJ7" s="264"/>
      <c r="AK7" s="263" t="str">
        <f>IF(TIPOORCAMENTO="Licitado","NOME DA EMPRESA","DESCRIÇÃO DO LOTE")</f>
        <v>DESCRIÇÃO DO LOTE</v>
      </c>
      <c r="AL7" s="260"/>
      <c r="AM7" s="260"/>
      <c r="AN7" s="260"/>
      <c r="AO7" s="260"/>
      <c r="AP7" s="260"/>
      <c r="AQ7" s="268" t="str">
        <f>IF(TIPOORCAMENTO="Licitado","Nº CTEF","")</f>
        <v/>
      </c>
    </row>
    <row r="8" spans="1:44" x14ac:dyDescent="0.2">
      <c r="D8" s="234"/>
      <c r="E8" s="139"/>
      <c r="F8" s="678" t="s">
        <v>211</v>
      </c>
      <c r="G8" s="757"/>
      <c r="H8" s="739" t="str">
        <f>Import.CR</f>
        <v>1090.502-01/2023</v>
      </c>
      <c r="I8" s="739"/>
      <c r="J8" s="269" t="str">
        <f>Import.SICONV</f>
        <v>950338/2023</v>
      </c>
      <c r="K8" s="747" t="str">
        <f>Import.Proponente</f>
        <v>PREFEITURA MUNICIPAL DE CONCEIÇÃO DOS OUROS</v>
      </c>
      <c r="L8" s="747"/>
      <c r="M8" s="747"/>
      <c r="N8" s="747"/>
      <c r="O8" s="747"/>
      <c r="P8" s="747"/>
      <c r="Q8" s="747"/>
      <c r="R8" s="747"/>
      <c r="S8" s="747"/>
      <c r="T8" s="739" t="str">
        <f>Import.Apelido</f>
        <v>Adequação de Estradas Vicinais</v>
      </c>
      <c r="U8" s="739"/>
      <c r="V8" s="739"/>
      <c r="W8" s="739"/>
      <c r="X8" s="739"/>
      <c r="Y8" s="754" t="str">
        <f>IF(TIPOORCAMENTO="Licitado",Import.empresa,Import.DescLote)</f>
        <v>Adequação de Estradas Vicinais</v>
      </c>
      <c r="Z8" s="754"/>
      <c r="AA8" s="754"/>
      <c r="AB8" s="754"/>
      <c r="AC8" s="754"/>
      <c r="AD8" s="754"/>
      <c r="AE8" s="270" t="str">
        <f>IF(TIPOORCAMENTO="Licitado",Import.CTEF,"")</f>
        <v/>
      </c>
      <c r="AF8" s="739" t="str">
        <f>Import.Apelido</f>
        <v>Adequação de Estradas Vicinais</v>
      </c>
      <c r="AG8" s="739"/>
      <c r="AH8" s="739"/>
      <c r="AI8" s="739"/>
      <c r="AJ8" s="739"/>
      <c r="AK8" s="754" t="str">
        <f>IF(TIPOORCAMENTO="Licitado",Import.empresa,Import.DescLote)</f>
        <v>Adequação de Estradas Vicinais</v>
      </c>
      <c r="AL8" s="754"/>
      <c r="AM8" s="754"/>
      <c r="AN8" s="754"/>
      <c r="AO8" s="754"/>
      <c r="AP8" s="754"/>
      <c r="AQ8" s="270" t="str">
        <f>IF(TIPOORCAMENTO="Licitado",Import.CTEF,"")</f>
        <v/>
      </c>
    </row>
    <row r="9" spans="1:44" x14ac:dyDescent="0.2">
      <c r="E9" s="139"/>
      <c r="F9" s="678"/>
      <c r="G9" s="757"/>
    </row>
    <row r="10" spans="1:44" x14ac:dyDescent="0.2">
      <c r="E10" s="262"/>
      <c r="F10" s="678"/>
      <c r="G10" s="271">
        <v>2</v>
      </c>
      <c r="J10" s="758" t="str">
        <f ca="1">IF(MAX($A$13:$A$32)&lt;CRONO.LinhasNecessarias,"ERRO: NÚMERO DE LINHAS DO CRONOGRAMA INSUFICIENTE. CLIQUE EM ATUALIZAR LINHAS.",IF(AND(ACOMPANHAMENTO="PLE",ROUND(OFFSET($AR$42,0,-1),2)=0),"CRONOGRAMA DEVE SER PREENCHIDO POR EVENTOS",IF(ROUND(OFFSET($AR$42,0,-1),2)&lt;&gt;$Q$33,"ERRO: CRONOGRAMA NÃO FECHA 100%","")))</f>
        <v>ERRO: CRONOGRAMA NÃO FECHA 100%</v>
      </c>
      <c r="K10" s="758"/>
      <c r="L10" s="758"/>
      <c r="M10" s="758"/>
      <c r="N10" s="758"/>
      <c r="O10" s="758"/>
      <c r="P10" s="758"/>
      <c r="Q10" s="758"/>
      <c r="R10" s="758"/>
      <c r="S10" s="758"/>
    </row>
    <row r="11" spans="1:44" ht="12.75" customHeight="1" x14ac:dyDescent="0.2">
      <c r="F11" s="678"/>
      <c r="H11" s="272"/>
      <c r="I11" s="272"/>
      <c r="J11" s="758"/>
      <c r="K11" s="758"/>
      <c r="L11" s="758"/>
      <c r="M11" s="758"/>
      <c r="N11" s="758"/>
      <c r="O11" s="758"/>
      <c r="P11" s="758"/>
      <c r="Q11" s="758"/>
      <c r="R11" s="758"/>
      <c r="S11" s="758"/>
    </row>
    <row r="12" spans="1:44" ht="12.75" customHeight="1" x14ac:dyDescent="0.2">
      <c r="D12" s="273">
        <f ca="1">OFFSET(D12,0,-1)+1</f>
        <v>1</v>
      </c>
      <c r="F12" s="131" t="s">
        <v>219</v>
      </c>
      <c r="G12" s="750" t="s">
        <v>276</v>
      </c>
      <c r="H12" s="751" t="s">
        <v>233</v>
      </c>
      <c r="I12" s="752" t="s">
        <v>236</v>
      </c>
      <c r="J12" s="274"/>
      <c r="K12" s="274"/>
      <c r="L12" s="275"/>
      <c r="M12" s="275"/>
      <c r="N12" s="275"/>
      <c r="O12" s="275"/>
      <c r="P12" s="275"/>
      <c r="Q12" s="275"/>
      <c r="R12" s="755" t="s">
        <v>277</v>
      </c>
      <c r="S12" s="756" t="s">
        <v>278</v>
      </c>
      <c r="T12" s="276">
        <v>1</v>
      </c>
      <c r="U12" s="273">
        <f ca="1">OFFSET(U12,0,-1)+1</f>
        <v>2</v>
      </c>
      <c r="V12" s="273">
        <f t="shared" ref="V12:AQ12" ca="1" si="2">OFFSET(V12,0,-1)+1</f>
        <v>3</v>
      </c>
      <c r="W12" s="273">
        <f t="shared" ca="1" si="2"/>
        <v>4</v>
      </c>
      <c r="X12" s="273">
        <f t="shared" ca="1" si="2"/>
        <v>5</v>
      </c>
      <c r="Y12" s="273">
        <f t="shared" ca="1" si="2"/>
        <v>6</v>
      </c>
      <c r="Z12" s="273">
        <f t="shared" ca="1" si="2"/>
        <v>7</v>
      </c>
      <c r="AA12" s="273">
        <f t="shared" ca="1" si="2"/>
        <v>8</v>
      </c>
      <c r="AB12" s="273">
        <f t="shared" ca="1" si="2"/>
        <v>9</v>
      </c>
      <c r="AC12" s="273">
        <f t="shared" ca="1" si="2"/>
        <v>10</v>
      </c>
      <c r="AD12" s="273">
        <f t="shared" ca="1" si="2"/>
        <v>11</v>
      </c>
      <c r="AE12" s="277">
        <f t="shared" ca="1" si="2"/>
        <v>12</v>
      </c>
      <c r="AF12" s="276">
        <f t="shared" ca="1" si="2"/>
        <v>13</v>
      </c>
      <c r="AG12" s="273">
        <f t="shared" ca="1" si="2"/>
        <v>14</v>
      </c>
      <c r="AH12" s="273">
        <f t="shared" ca="1" si="2"/>
        <v>15</v>
      </c>
      <c r="AI12" s="273">
        <f t="shared" ca="1" si="2"/>
        <v>16</v>
      </c>
      <c r="AJ12" s="273">
        <f t="shared" ca="1" si="2"/>
        <v>17</v>
      </c>
      <c r="AK12" s="273">
        <f t="shared" ca="1" si="2"/>
        <v>18</v>
      </c>
      <c r="AL12" s="273">
        <f t="shared" ca="1" si="2"/>
        <v>19</v>
      </c>
      <c r="AM12" s="273">
        <f t="shared" ca="1" si="2"/>
        <v>20</v>
      </c>
      <c r="AN12" s="273">
        <f t="shared" ca="1" si="2"/>
        <v>21</v>
      </c>
      <c r="AO12" s="273">
        <f t="shared" ca="1" si="2"/>
        <v>22</v>
      </c>
      <c r="AP12" s="273">
        <f t="shared" ca="1" si="2"/>
        <v>23</v>
      </c>
      <c r="AQ12" s="277">
        <f t="shared" ca="1" si="2"/>
        <v>24</v>
      </c>
    </row>
    <row r="13" spans="1:44" ht="24.95" customHeight="1" x14ac:dyDescent="0.2">
      <c r="A13" s="278" t="s">
        <v>279</v>
      </c>
      <c r="B13" s="278" t="s">
        <v>171</v>
      </c>
      <c r="C13" s="278" t="s">
        <v>280</v>
      </c>
      <c r="D13" s="279" t="e">
        <f ca="1">OFFSET(D13,0,-1)+41-DAY(OFFSET(D13,0,-1)+40)</f>
        <v>#VALUE!</v>
      </c>
      <c r="E13" s="278" t="s">
        <v>281</v>
      </c>
      <c r="G13" s="750"/>
      <c r="H13" s="751"/>
      <c r="I13" s="752"/>
      <c r="J13" s="280"/>
      <c r="K13" s="280"/>
      <c r="L13" s="281" t="s">
        <v>231</v>
      </c>
      <c r="M13" s="281">
        <v>1</v>
      </c>
      <c r="N13" s="281">
        <v>2</v>
      </c>
      <c r="O13" s="281">
        <v>3</v>
      </c>
      <c r="P13" s="281">
        <v>4</v>
      </c>
      <c r="Q13" s="282" t="s">
        <v>282</v>
      </c>
      <c r="R13" s="755"/>
      <c r="S13" s="756"/>
      <c r="T13" s="283">
        <v>45231</v>
      </c>
      <c r="U13" s="279">
        <f ca="1">OFFSET(U13,0,-1)+41-DAY(OFFSET(U13,0,-1)+40)</f>
        <v>45261</v>
      </c>
      <c r="V13" s="279">
        <f ca="1">OFFSET(V13,0,-1)+41-DAY(OFFSET(V13,0,-1)+40)</f>
        <v>45292</v>
      </c>
      <c r="W13" s="279">
        <f t="shared" ref="W13:AQ13" ca="1" si="3">OFFSET(W13,0,-1)+41-DAY(OFFSET(W13,0,-1)+40)</f>
        <v>45323</v>
      </c>
      <c r="X13" s="279">
        <f t="shared" ca="1" si="3"/>
        <v>45352</v>
      </c>
      <c r="Y13" s="279">
        <f t="shared" ca="1" si="3"/>
        <v>45383</v>
      </c>
      <c r="Z13" s="279">
        <f t="shared" ca="1" si="3"/>
        <v>45413</v>
      </c>
      <c r="AA13" s="279">
        <f t="shared" ca="1" si="3"/>
        <v>45444</v>
      </c>
      <c r="AB13" s="279">
        <f t="shared" ca="1" si="3"/>
        <v>45474</v>
      </c>
      <c r="AC13" s="279">
        <f t="shared" ca="1" si="3"/>
        <v>45505</v>
      </c>
      <c r="AD13" s="279">
        <f t="shared" ca="1" si="3"/>
        <v>45536</v>
      </c>
      <c r="AE13" s="284">
        <f t="shared" ca="1" si="3"/>
        <v>45566</v>
      </c>
      <c r="AF13" s="283">
        <f t="shared" ca="1" si="3"/>
        <v>45597</v>
      </c>
      <c r="AG13" s="279">
        <f t="shared" ca="1" si="3"/>
        <v>45627</v>
      </c>
      <c r="AH13" s="279">
        <f t="shared" ca="1" si="3"/>
        <v>45658</v>
      </c>
      <c r="AI13" s="279">
        <f t="shared" ca="1" si="3"/>
        <v>45689</v>
      </c>
      <c r="AJ13" s="279">
        <f t="shared" ca="1" si="3"/>
        <v>45717</v>
      </c>
      <c r="AK13" s="279">
        <f t="shared" ca="1" si="3"/>
        <v>45748</v>
      </c>
      <c r="AL13" s="279">
        <f t="shared" ca="1" si="3"/>
        <v>45778</v>
      </c>
      <c r="AM13" s="279">
        <f t="shared" ca="1" si="3"/>
        <v>45809</v>
      </c>
      <c r="AN13" s="279">
        <f t="shared" ca="1" si="3"/>
        <v>45839</v>
      </c>
      <c r="AO13" s="279">
        <f t="shared" ca="1" si="3"/>
        <v>45870</v>
      </c>
      <c r="AP13" s="279">
        <f t="shared" ca="1" si="3"/>
        <v>45901</v>
      </c>
      <c r="AQ13" s="284">
        <f t="shared" ca="1" si="3"/>
        <v>45931</v>
      </c>
    </row>
    <row r="14" spans="1:44" x14ac:dyDescent="0.2">
      <c r="A14" s="234">
        <f ca="1">OFFSET(A14,-3,0)+1</f>
        <v>1</v>
      </c>
      <c r="B14" s="234">
        <f ca="1">IF($Q14&lt;&gt;2,0,IF($R14=0,1,IF(E15&gt;0,OFFSET(QCI!$M$13,SUBSTITUTE(E15,".",""),0),OFFSET(ORÇAMENTO!$AA$15,CRONO!$E14,0))/$R14))</f>
        <v>0</v>
      </c>
      <c r="C14" s="234">
        <f ca="1">IF($Q14&lt;&gt;2,0,IF($R14=0,1,IF(E15&gt;0,OFFSET(QCI!$N$13,SUBSTITUTE(E15,".",""),0),OFFSET(ORÇAMENTO!$AB$15,CRONO!$E14,0))/$R14))</f>
        <v>0</v>
      </c>
      <c r="D14" s="237">
        <f ca="1">IF(AND($Q14=2,ACOMPANHAMENTO="BM"),D15,D16/$R14)</f>
        <v>0.39044379036358179</v>
      </c>
      <c r="E14" s="234">
        <f ca="1">IF(A14&lt;=ORÇAMENTO.MáximoListaCrono,MATCH(A14,ORÇAMENTO.ListaCrono,0),NA())</f>
        <v>1</v>
      </c>
      <c r="F14" s="234" t="str">
        <f ca="1">IF(AND($E15&lt;&gt;-1,$R14&gt;0),"F","")</f>
        <v>F</v>
      </c>
      <c r="G14" s="238" t="str">
        <f ca="1">IF(OR(R14=0,R14=""),"Linha",IF(AND(OR(ACOMPANHAMENTO="PLE",$Q14&lt;&gt;2),$E15=0),"Linha",1-SUM(T14:AR14)))</f>
        <v>Linha</v>
      </c>
      <c r="H14" s="239" t="str">
        <f ca="1">IF($E15=0,OFFSET(ORÇAMENTO!O$15,$E14,0),IF($E15&lt;&gt;-1,OFFSET(QCI!$D$13,$E15,0),""))</f>
        <v>1.</v>
      </c>
      <c r="I14" s="240" t="str">
        <f ca="1">IF($E15=0,OFFSET(ORÇAMENTO!R$15,$E14,0),IF($E15&lt;&gt;-1,OFFSET(QCI!$G$13,$E15,0),""))</f>
        <v xml:space="preserve">Adequação de Estradas Vicinais  </v>
      </c>
      <c r="J14" s="240"/>
      <c r="K14" s="240"/>
      <c r="L14" s="241">
        <f ca="1">IF($E15=0,OFFSET(ORÇAMENTO!C$15,$E14,0),1)</f>
        <v>1</v>
      </c>
      <c r="M14" s="242">
        <f ca="1">IF($E15=-1,0,IF(M$13&lt;=$L14,IF(ISERROR(MATCH(M$13,OFFSET($L14,1,0,ROW($L$32)-ROW($L14)-1),0)),ROW($L$32)-ROW($L14)-1,MATCH(M$13,OFFSET($L14,1,0,ROW($L$32)-ROW($L14)-1),0)-1),0))</f>
        <v>17</v>
      </c>
      <c r="N14" s="242">
        <f ca="1">IF($E15=-1,0,IF(N$13&lt;=$L14,IF(ISERROR(MATCH(N$13,OFFSET($L14,1,0,ROW($L$32)-ROW($L14)-1),0)),ROW($L$32)-ROW($L14)-1,MATCH(N$13,OFFSET($L14,1,0,ROW($L$32)-ROW($L14)-1),0)-1),0))</f>
        <v>0</v>
      </c>
      <c r="O14" s="242">
        <f ca="1">IF($E15=-1,0,IF(O$13&lt;=$L14,IF(ISERROR(MATCH(O$13,OFFSET($L14,1,0,ROW($L$32)-ROW($L14)-1),0)),ROW($L$32)-ROW($L14)-1,MATCH(O$13,OFFSET($L14,1,0,ROW($L$32)-ROW($L14)-1),0)-1),0))</f>
        <v>0</v>
      </c>
      <c r="P14" s="242">
        <f ca="1">IF($E15=-1,0,IF(P$13&lt;=$L14,IF(ISERROR(MATCH(P$13,OFFSET($L14,1,0,ROW($L$32)-ROW($L14)-1),0)),ROW($L$32)-ROW($L14)-1,MATCH(P$13,OFFSET($L14,1,0,ROW($L$32)-ROW($L14)-1),0)-1),0))</f>
        <v>0</v>
      </c>
      <c r="Q14" s="242">
        <f ca="1">MIN(OFFSET(L14,0,1,,L14))</f>
        <v>17</v>
      </c>
      <c r="R14" s="243">
        <f ca="1">IF($E15=0,OFFSET(ORÇAMENTO!X$15,$E14,0),IF($E15&lt;&gt;-1,OFFSET(QCI!$O$13,$E15,0),""))</f>
        <v>501148.51558840001</v>
      </c>
      <c r="S14" s="244" t="s">
        <v>272</v>
      </c>
      <c r="T14" s="245">
        <f t="shared" ref="T14:AQ14" ca="1" si="4">IF(AND($Q14=2,ACOMPANHAMENTO="BM"),T15,T16/$R14)</f>
        <v>0.39044379036358179</v>
      </c>
      <c r="U14" s="237">
        <f t="shared" ca="1" si="4"/>
        <v>0.34747196831065874</v>
      </c>
      <c r="V14" s="237">
        <f t="shared" ca="1" si="4"/>
        <v>0.26208424132575936</v>
      </c>
      <c r="W14" s="237">
        <f t="shared" ca="1" si="4"/>
        <v>0</v>
      </c>
      <c r="X14" s="237">
        <f t="shared" ca="1" si="4"/>
        <v>0</v>
      </c>
      <c r="Y14" s="237">
        <f t="shared" ca="1" si="4"/>
        <v>0</v>
      </c>
      <c r="Z14" s="237">
        <f t="shared" ca="1" si="4"/>
        <v>0</v>
      </c>
      <c r="AA14" s="237">
        <f t="shared" ca="1" si="4"/>
        <v>0</v>
      </c>
      <c r="AB14" s="237">
        <f t="shared" ca="1" si="4"/>
        <v>0</v>
      </c>
      <c r="AC14" s="237">
        <f t="shared" ca="1" si="4"/>
        <v>0</v>
      </c>
      <c r="AD14" s="237">
        <f t="shared" ca="1" si="4"/>
        <v>0</v>
      </c>
      <c r="AE14" s="246">
        <f t="shared" ca="1" si="4"/>
        <v>0</v>
      </c>
      <c r="AF14" s="245">
        <f t="shared" ca="1" si="4"/>
        <v>1.1699286374451574E-2</v>
      </c>
      <c r="AG14" s="237">
        <f t="shared" ca="1" si="4"/>
        <v>0</v>
      </c>
      <c r="AH14" s="237">
        <f t="shared" ca="1" si="4"/>
        <v>0</v>
      </c>
      <c r="AI14" s="237">
        <f t="shared" ca="1" si="4"/>
        <v>0</v>
      </c>
      <c r="AJ14" s="237">
        <f t="shared" ca="1" si="4"/>
        <v>0</v>
      </c>
      <c r="AK14" s="237">
        <f t="shared" ca="1" si="4"/>
        <v>0</v>
      </c>
      <c r="AL14" s="237">
        <f t="shared" ca="1" si="4"/>
        <v>0</v>
      </c>
      <c r="AM14" s="237">
        <f t="shared" ca="1" si="4"/>
        <v>0</v>
      </c>
      <c r="AN14" s="237">
        <f t="shared" ca="1" si="4"/>
        <v>0</v>
      </c>
      <c r="AO14" s="237">
        <f t="shared" ca="1" si="4"/>
        <v>0</v>
      </c>
      <c r="AP14" s="237">
        <f t="shared" ca="1" si="4"/>
        <v>0</v>
      </c>
      <c r="AQ14" s="246">
        <f t="shared" ca="1" si="4"/>
        <v>0</v>
      </c>
    </row>
    <row r="15" spans="1:44" ht="12.75" customHeight="1" x14ac:dyDescent="0.2">
      <c r="D15" s="654"/>
      <c r="E15" s="234">
        <f ca="1">IF(ISERROR(E14),IF(1+COUNTIF($L$13:OFFSET(L14,-1,0),1)&lt;=MAX(QCI!$D$13:$D$23),1+COUNTIF($L$13:OFFSET(L14,-1,0),1),-1),0)</f>
        <v>0</v>
      </c>
      <c r="F15" s="234" t="str">
        <f ca="1">IF(AND($E15&lt;&gt;-1,$R14&gt;0),"F","")</f>
        <v>F</v>
      </c>
      <c r="G15" s="247" t="str">
        <f ca="1">IF(OR(R14=0,R14=""),"vazia",IF(AND(OR(ACOMPANHAMENTO="PLE",$Q14&lt;&gt;2),$E15=0),"calculada","--&gt;"))</f>
        <v>calculada</v>
      </c>
      <c r="H15" s="248"/>
      <c r="I15" s="249" t="str">
        <f ca="1">IF(AND(G14&lt;&gt;0,ISNUMBER(G14)),"PREENCHA ESTA LINHA --&gt;","")</f>
        <v/>
      </c>
      <c r="J15" s="249"/>
      <c r="K15" s="249"/>
      <c r="L15" s="250"/>
      <c r="M15" s="250"/>
      <c r="N15" s="250"/>
      <c r="O15" s="250"/>
      <c r="P15" s="250"/>
      <c r="Q15" s="250"/>
      <c r="R15" s="251"/>
      <c r="S15" s="252"/>
      <c r="T15" s="655"/>
      <c r="U15" s="654"/>
      <c r="V15" s="654"/>
      <c r="W15" s="654"/>
      <c r="X15" s="654"/>
      <c r="Y15" s="654"/>
      <c r="Z15" s="654"/>
      <c r="AA15" s="654"/>
      <c r="AB15" s="654"/>
      <c r="AC15" s="654"/>
      <c r="AD15" s="654"/>
      <c r="AE15" s="656"/>
      <c r="AF15" s="655"/>
      <c r="AG15" s="654"/>
      <c r="AH15" s="654"/>
      <c r="AI15" s="654"/>
      <c r="AJ15" s="654"/>
      <c r="AK15" s="654"/>
      <c r="AL15" s="654"/>
      <c r="AM15" s="654"/>
      <c r="AN15" s="654"/>
      <c r="AO15" s="654"/>
      <c r="AP15" s="654"/>
      <c r="AQ15" s="656"/>
      <c r="AR15" s="614"/>
    </row>
    <row r="16" spans="1:44" ht="0.2" hidden="1" customHeight="1" x14ac:dyDescent="0.2">
      <c r="D16" s="253">
        <f ca="1">IF($Q14=2,IF(AND(ACOMPANHAMENTO="PLE",ISNUMBER($E14)),SUMIF((OFFSET(CÁLCULO!$DO$15:$FM$15,$E14,0,OFFSET(ORÇAMENTO!$D$15,CRONO!$E14,0))),"="&amp;CRONO!D$12,OFFSET(CÁLCULO!$BP$15:$DN$15,$E14,0,OFFSET(ORÇAMENTO!$D$15,CRONO!$E14,0)))+IF(AND($E16&lt;&gt;"",$E16&lt;&gt;0),SUMIF(CÁLCULO!$DO$15:$FM$33,"="&amp;CRONO!D$12,CÁLCULO!$BP$15:$DN$33)/(ORÇAMENTO!$X$15-CÁLCULO.TotalAdmLocal)*CRONO!$E16,0),D15*$R14),SUMIF(OFFSET($R16,1,0,$Q14-2),($L14+1)&amp;"$",OFFSET(D16,1,0,$Q14-2)))</f>
        <v>195670.32596141746</v>
      </c>
      <c r="E16" s="234" t="str">
        <f ca="1">IF(OR($Q14&lt;&gt;2,AUTOEVENTO&lt;&gt;"manual",$E15&gt;0),"",SUMIF(OFFSET(CÁLCULO!$M$15,CRONO!$E14,0,OFFSET(ORÇAMENTO!$D$15,CRONO!$E14,0)),1,OFFSET(ORÇAMENTO!$X$15,CRONO!$E14,0,OFFSET(ORÇAMENTO!$D$15,CRONO!$E14,0))))</f>
        <v/>
      </c>
      <c r="G16" s="254"/>
      <c r="R16" s="255" t="str">
        <f ca="1">L14&amp;"$"</f>
        <v>1$</v>
      </c>
      <c r="S16" s="256"/>
      <c r="T16" s="257">
        <f ca="1">IF($Q14=2,IF(AND(ACOMPANHAMENTO="PLE",ISNUMBER($E14)),SUMIF((OFFSET(CÁLCULO!$DO$15:$FM$15,$E14,0,OFFSET(ORÇAMENTO!$D$15,CRONO!$E14,0))),"&lt;="&amp;CRONO!T$12,OFFSET(CÁLCULO!$BP$15:$DN$15,$E14,0,OFFSET(ORÇAMENTO!$D$15,CRONO!$E14,0)))+IF(AND($E16&lt;&gt;"",$E16&lt;&gt;0),SUMIF(CÁLCULO!$DO$15:$FM$33,"&lt;="&amp;CRONO!T$12,CÁLCULO!$BP$15:$DN$33)/(ORÇAMENTO!$X$15-CÁLCULO.TotalAdmLocal)*CRONO!$E16,0),T15*$R14),SUMIF(OFFSET($R16,1,0,$Q14-2),($L14+1)&amp;"$",OFFSET(T16,1,0,$Q14-2)))</f>
        <v>195670.32596141746</v>
      </c>
      <c r="U16" s="253">
        <f ca="1">IF($Q14=2,IF(AND(ACOMPANHAMENTO="PLE",ISNUMBER($E14)),SUMIF((OFFSET(CÁLCULO!$DO$15:$FM$15,$E14,0,OFFSET(ORÇAMENTO!$D$15,CRONO!$E14,0))),"="&amp;CRONO!U$12,OFFSET(CÁLCULO!$BP$15:$DN$15,$E14,0,OFFSET(ORÇAMENTO!$D$15,CRONO!$E14,0)))+IF(AND($E16&lt;&gt;"",$E16&lt;&gt;0),SUMIF(CÁLCULO!$DO$15:$FM$33,"="&amp;CRONO!U$12,CÁLCULO!$BP$15:$DN$33)/(ORÇAMENTO!$X$15-CÁLCULO.TotalAdmLocal)*CRONO!$E16,0),U15*$R14),SUMIF(OFFSET($R16,1,0,$Q14-2),($L14+1)&amp;"$",OFFSET(U16,1,0,$Q14-2)))</f>
        <v>174135.06112746621</v>
      </c>
      <c r="V16" s="253">
        <f ca="1">IF($Q14=2,IF(AND(ACOMPANHAMENTO="PLE",ISNUMBER($E14)),SUMIF((OFFSET(CÁLCULO!$DO$15:$FM$15,$E14,0,OFFSET(ORÇAMENTO!$D$15,CRONO!$E14,0))),"="&amp;CRONO!V$12,OFFSET(CÁLCULO!$BP$15:$DN$15,$E14,0,OFFSET(ORÇAMENTO!$D$15,CRONO!$E14,0)))+IF(AND($E16&lt;&gt;"",$E16&lt;&gt;0),SUMIF(CÁLCULO!$DO$15:$FM$33,"="&amp;CRONO!V$12,CÁLCULO!$BP$15:$DN$33)/(ORÇAMENTO!$X$15-CÁLCULO.TotalAdmLocal)*CRONO!$E16,0),V15*$R14),SUMIF(OFFSET($R16,1,0,$Q14-2),($L14+1)&amp;"$",OFFSET(V16,1,0,$Q14-2)))</f>
        <v>131343.12849951632</v>
      </c>
      <c r="W16" s="253">
        <f ca="1">IF($Q14=2,IF(AND(ACOMPANHAMENTO="PLE",ISNUMBER($E14)),SUMIF((OFFSET(CÁLCULO!$DO$15:$FM$15,$E14,0,OFFSET(ORÇAMENTO!$D$15,CRONO!$E14,0))),"="&amp;CRONO!W$12,OFFSET(CÁLCULO!$BP$15:$DN$15,$E14,0,OFFSET(ORÇAMENTO!$D$15,CRONO!$E14,0)))+IF(AND($E16&lt;&gt;"",$E16&lt;&gt;0),SUMIF(CÁLCULO!$DO$15:$FM$33,"="&amp;CRONO!W$12,CÁLCULO!$BP$15:$DN$33)/(ORÇAMENTO!$X$15-CÁLCULO.TotalAdmLocal)*CRONO!$E16,0),W15*$R14),SUMIF(OFFSET($R16,1,0,$Q14-2),($L14+1)&amp;"$",OFFSET(W16,1,0,$Q14-2)))</f>
        <v>0</v>
      </c>
      <c r="X16" s="253">
        <f ca="1">IF($Q14=2,IF(AND(ACOMPANHAMENTO="PLE",ISNUMBER($E14)),SUMIF((OFFSET(CÁLCULO!$DO$15:$FM$15,$E14,0,OFFSET(ORÇAMENTO!$D$15,CRONO!$E14,0))),"="&amp;CRONO!X$12,OFFSET(CÁLCULO!$BP$15:$DN$15,$E14,0,OFFSET(ORÇAMENTO!$D$15,CRONO!$E14,0)))+IF(AND($E16&lt;&gt;"",$E16&lt;&gt;0),SUMIF(CÁLCULO!$DO$15:$FM$33,"="&amp;CRONO!X$12,CÁLCULO!$BP$15:$DN$33)/(ORÇAMENTO!$X$15-CÁLCULO.TotalAdmLocal)*CRONO!$E16,0),X15*$R14),SUMIF(OFFSET($R16,1,0,$Q14-2),($L14+1)&amp;"$",OFFSET(X16,1,0,$Q14-2)))</f>
        <v>0</v>
      </c>
      <c r="Y16" s="253">
        <f ca="1">IF($Q14=2,IF(AND(ACOMPANHAMENTO="PLE",ISNUMBER($E14)),SUMIF((OFFSET(CÁLCULO!$DO$15:$FM$15,$E14,0,OFFSET(ORÇAMENTO!$D$15,CRONO!$E14,0))),"="&amp;CRONO!Y$12,OFFSET(CÁLCULO!$BP$15:$DN$15,$E14,0,OFFSET(ORÇAMENTO!$D$15,CRONO!$E14,0)))+IF(AND($E16&lt;&gt;"",$E16&lt;&gt;0),SUMIF(CÁLCULO!$DO$15:$FM$33,"="&amp;CRONO!Y$12,CÁLCULO!$BP$15:$DN$33)/(ORÇAMENTO!$X$15-CÁLCULO.TotalAdmLocal)*CRONO!$E16,0),Y15*$R14),SUMIF(OFFSET($R16,1,0,$Q14-2),($L14+1)&amp;"$",OFFSET(Y16,1,0,$Q14-2)))</f>
        <v>0</v>
      </c>
      <c r="Z16" s="253">
        <f ca="1">IF($Q14=2,IF(AND(ACOMPANHAMENTO="PLE",ISNUMBER($E14)),SUMIF((OFFSET(CÁLCULO!$DO$15:$FM$15,$E14,0,OFFSET(ORÇAMENTO!$D$15,CRONO!$E14,0))),"="&amp;CRONO!Z$12,OFFSET(CÁLCULO!$BP$15:$DN$15,$E14,0,OFFSET(ORÇAMENTO!$D$15,CRONO!$E14,0)))+IF(AND($E16&lt;&gt;"",$E16&lt;&gt;0),SUMIF(CÁLCULO!$DO$15:$FM$33,"="&amp;CRONO!Z$12,CÁLCULO!$BP$15:$DN$33)/(ORÇAMENTO!$X$15-CÁLCULO.TotalAdmLocal)*CRONO!$E16,0),Z15*$R14),SUMIF(OFFSET($R16,1,0,$Q14-2),($L14+1)&amp;"$",OFFSET(Z16,1,0,$Q14-2)))</f>
        <v>0</v>
      </c>
      <c r="AA16" s="253">
        <f ca="1">IF($Q14=2,IF(AND(ACOMPANHAMENTO="PLE",ISNUMBER($E14)),SUMIF((OFFSET(CÁLCULO!$DO$15:$FM$15,$E14,0,OFFSET(ORÇAMENTO!$D$15,CRONO!$E14,0))),"="&amp;CRONO!AA$12,OFFSET(CÁLCULO!$BP$15:$DN$15,$E14,0,OFFSET(ORÇAMENTO!$D$15,CRONO!$E14,0)))+IF(AND($E16&lt;&gt;"",$E16&lt;&gt;0),SUMIF(CÁLCULO!$DO$15:$FM$33,"="&amp;CRONO!AA$12,CÁLCULO!$BP$15:$DN$33)/(ORÇAMENTO!$X$15-CÁLCULO.TotalAdmLocal)*CRONO!$E16,0),AA15*$R14),SUMIF(OFFSET($R16,1,0,$Q14-2),($L14+1)&amp;"$",OFFSET(AA16,1,0,$Q14-2)))</f>
        <v>0</v>
      </c>
      <c r="AB16" s="253">
        <f ca="1">IF($Q14=2,IF(AND(ACOMPANHAMENTO="PLE",ISNUMBER($E14)),SUMIF((OFFSET(CÁLCULO!$DO$15:$FM$15,$E14,0,OFFSET(ORÇAMENTO!$D$15,CRONO!$E14,0))),"="&amp;CRONO!AB$12,OFFSET(CÁLCULO!$BP$15:$DN$15,$E14,0,OFFSET(ORÇAMENTO!$D$15,CRONO!$E14,0)))+IF(AND($E16&lt;&gt;"",$E16&lt;&gt;0),SUMIF(CÁLCULO!$DO$15:$FM$33,"="&amp;CRONO!AB$12,CÁLCULO!$BP$15:$DN$33)/(ORÇAMENTO!$X$15-CÁLCULO.TotalAdmLocal)*CRONO!$E16,0),AB15*$R14),SUMIF(OFFSET($R16,1,0,$Q14-2),($L14+1)&amp;"$",OFFSET(AB16,1,0,$Q14-2)))</f>
        <v>0</v>
      </c>
      <c r="AC16" s="253">
        <f ca="1">IF($Q14=2,IF(AND(ACOMPANHAMENTO="PLE",ISNUMBER($E14)),SUMIF((OFFSET(CÁLCULO!$DO$15:$FM$15,$E14,0,OFFSET(ORÇAMENTO!$D$15,CRONO!$E14,0))),"="&amp;CRONO!AC$12,OFFSET(CÁLCULO!$BP$15:$DN$15,$E14,0,OFFSET(ORÇAMENTO!$D$15,CRONO!$E14,0)))+IF(AND($E16&lt;&gt;"",$E16&lt;&gt;0),SUMIF(CÁLCULO!$DO$15:$FM$33,"="&amp;CRONO!AC$12,CÁLCULO!$BP$15:$DN$33)/(ORÇAMENTO!$X$15-CÁLCULO.TotalAdmLocal)*CRONO!$E16,0),AC15*$R14),SUMIF(OFFSET($R16,1,0,$Q14-2),($L14+1)&amp;"$",OFFSET(AC16,1,0,$Q14-2)))</f>
        <v>0</v>
      </c>
      <c r="AD16" s="253">
        <f ca="1">IF($Q14=2,IF(AND(ACOMPANHAMENTO="PLE",ISNUMBER($E14)),SUMIF((OFFSET(CÁLCULO!$DO$15:$FM$15,$E14,0,OFFSET(ORÇAMENTO!$D$15,CRONO!$E14,0))),"="&amp;CRONO!AD$12,OFFSET(CÁLCULO!$BP$15:$DN$15,$E14,0,OFFSET(ORÇAMENTO!$D$15,CRONO!$E14,0)))+IF(AND($E16&lt;&gt;"",$E16&lt;&gt;0),SUMIF(CÁLCULO!$DO$15:$FM$33,"="&amp;CRONO!AD$12,CÁLCULO!$BP$15:$DN$33)/(ORÇAMENTO!$X$15-CÁLCULO.TotalAdmLocal)*CRONO!$E16,0),AD15*$R14),SUMIF(OFFSET($R16,1,0,$Q14-2),($L14+1)&amp;"$",OFFSET(AD16,1,0,$Q14-2)))</f>
        <v>0</v>
      </c>
      <c r="AE16" s="258">
        <f ca="1">IF($Q14=2,IF(AND(ACOMPANHAMENTO="PLE",ISNUMBER($E14)),SUMIF((OFFSET(CÁLCULO!$DO$15:$FM$15,$E14,0,OFFSET(ORÇAMENTO!$D$15,CRONO!$E14,0))),"="&amp;CRONO!AE$12,OFFSET(CÁLCULO!$BP$15:$DN$15,$E14,0,OFFSET(ORÇAMENTO!$D$15,CRONO!$E14,0)))+IF(AND($E16&lt;&gt;"",$E16&lt;&gt;0),SUMIF(CÁLCULO!$DO$15:$FM$33,"="&amp;CRONO!AE$12,CÁLCULO!$BP$15:$DN$33)/(ORÇAMENTO!$X$15-CÁLCULO.TotalAdmLocal)*CRONO!$E16,0),AE15*$R14),SUMIF(OFFSET($R16,1,0,$Q14-2),($L14+1)&amp;"$",OFFSET(AE16,1,0,$Q14-2)))</f>
        <v>0</v>
      </c>
      <c r="AF16" s="257">
        <f ca="1">IF($Q14=2,IF(AND(ACOMPANHAMENTO="PLE",ISNUMBER($E14)),SUMIF((OFFSET(CÁLCULO!$DO$15:$FM$15,$E14,0,OFFSET(ORÇAMENTO!$D$15,CRONO!$E14,0))),"="&amp;CRONO!AF$12,OFFSET(CÁLCULO!$BP$15:$DN$15,$E14,0,OFFSET(ORÇAMENTO!$D$15,CRONO!$E14,0)))+IF(AND($E16&lt;&gt;"",$E16&lt;&gt;0),SUMIF(CÁLCULO!$DO$15:$FM$33,"="&amp;CRONO!AF$12,CÁLCULO!$BP$15:$DN$33)/(ORÇAMENTO!$X$15-CÁLCULO.TotalAdmLocal)*CRONO!$E16,0),AF15*$R14),SUMIF(OFFSET($R16,1,0,$Q14-2),($L14+1)&amp;"$",OFFSET(AF16,1,0,$Q14-2)))</f>
        <v>5863.08</v>
      </c>
      <c r="AG16" s="253">
        <f ca="1">IF($Q14=2,IF(AND(ACOMPANHAMENTO="PLE",ISNUMBER($E14)),SUMIF((OFFSET(CÁLCULO!$DO$15:$FM$15,$E14,0,OFFSET(ORÇAMENTO!$D$15,CRONO!$E14,0))),"="&amp;CRONO!AG$12,OFFSET(CÁLCULO!$BP$15:$DN$15,$E14,0,OFFSET(ORÇAMENTO!$D$15,CRONO!$E14,0)))+IF(AND($E16&lt;&gt;"",$E16&lt;&gt;0),SUMIF(CÁLCULO!$DO$15:$FM$33,"="&amp;CRONO!AG$12,CÁLCULO!$BP$15:$DN$33)/(ORÇAMENTO!$X$15-CÁLCULO.TotalAdmLocal)*CRONO!$E16,0),AG15*$R14),SUMIF(OFFSET($R16,1,0,$Q14-2),($L14+1)&amp;"$",OFFSET(AG16,1,0,$Q14-2)))</f>
        <v>0</v>
      </c>
      <c r="AH16" s="253">
        <f ca="1">IF($Q14=2,IF(AND(ACOMPANHAMENTO="PLE",ISNUMBER($E14)),SUMIF((OFFSET(CÁLCULO!$DO$15:$FM$15,$E14,0,OFFSET(ORÇAMENTO!$D$15,CRONO!$E14,0))),"="&amp;CRONO!AH$12,OFFSET(CÁLCULO!$BP$15:$DN$15,$E14,0,OFFSET(ORÇAMENTO!$D$15,CRONO!$E14,0)))+IF(AND($E16&lt;&gt;"",$E16&lt;&gt;0),SUMIF(CÁLCULO!$DO$15:$FM$33,"="&amp;CRONO!AH$12,CÁLCULO!$BP$15:$DN$33)/(ORÇAMENTO!$X$15-CÁLCULO.TotalAdmLocal)*CRONO!$E16,0),AH15*$R14),SUMIF(OFFSET($R16,1,0,$Q14-2),($L14+1)&amp;"$",OFFSET(AH16,1,0,$Q14-2)))</f>
        <v>0</v>
      </c>
      <c r="AI16" s="253">
        <f ca="1">IF($Q14=2,IF(AND(ACOMPANHAMENTO="PLE",ISNUMBER($E14)),SUMIF((OFFSET(CÁLCULO!$DO$15:$FM$15,$E14,0,OFFSET(ORÇAMENTO!$D$15,CRONO!$E14,0))),"="&amp;CRONO!AI$12,OFFSET(CÁLCULO!$BP$15:$DN$15,$E14,0,OFFSET(ORÇAMENTO!$D$15,CRONO!$E14,0)))+IF(AND($E16&lt;&gt;"",$E16&lt;&gt;0),SUMIF(CÁLCULO!$DO$15:$FM$33,"="&amp;CRONO!AI$12,CÁLCULO!$BP$15:$DN$33)/(ORÇAMENTO!$X$15-CÁLCULO.TotalAdmLocal)*CRONO!$E16,0),AI15*$R14),SUMIF(OFFSET($R16,1,0,$Q14-2),($L14+1)&amp;"$",OFFSET(AI16,1,0,$Q14-2)))</f>
        <v>0</v>
      </c>
      <c r="AJ16" s="253">
        <f ca="1">IF($Q14=2,IF(AND(ACOMPANHAMENTO="PLE",ISNUMBER($E14)),SUMIF((OFFSET(CÁLCULO!$DO$15:$FM$15,$E14,0,OFFSET(ORÇAMENTO!$D$15,CRONO!$E14,0))),"="&amp;CRONO!AJ$12,OFFSET(CÁLCULO!$BP$15:$DN$15,$E14,0,OFFSET(ORÇAMENTO!$D$15,CRONO!$E14,0)))+IF(AND($E16&lt;&gt;"",$E16&lt;&gt;0),SUMIF(CÁLCULO!$DO$15:$FM$33,"="&amp;CRONO!AJ$12,CÁLCULO!$BP$15:$DN$33)/(ORÇAMENTO!$X$15-CÁLCULO.TotalAdmLocal)*CRONO!$E16,0),AJ15*$R14),SUMIF(OFFSET($R16,1,0,$Q14-2),($L14+1)&amp;"$",OFFSET(AJ16,1,0,$Q14-2)))</f>
        <v>0</v>
      </c>
      <c r="AK16" s="253">
        <f ca="1">IF($Q14=2,IF(AND(ACOMPANHAMENTO="PLE",ISNUMBER($E14)),SUMIF((OFFSET(CÁLCULO!$DO$15:$FM$15,$E14,0,OFFSET(ORÇAMENTO!$D$15,CRONO!$E14,0))),"="&amp;CRONO!AK$12,OFFSET(CÁLCULO!$BP$15:$DN$15,$E14,0,OFFSET(ORÇAMENTO!$D$15,CRONO!$E14,0)))+IF(AND($E16&lt;&gt;"",$E16&lt;&gt;0),SUMIF(CÁLCULO!$DO$15:$FM$33,"="&amp;CRONO!AK$12,CÁLCULO!$BP$15:$DN$33)/(ORÇAMENTO!$X$15-CÁLCULO.TotalAdmLocal)*CRONO!$E16,0),AK15*$R14),SUMIF(OFFSET($R16,1,0,$Q14-2),($L14+1)&amp;"$",OFFSET(AK16,1,0,$Q14-2)))</f>
        <v>0</v>
      </c>
      <c r="AL16" s="253">
        <f ca="1">IF($Q14=2,IF(AND(ACOMPANHAMENTO="PLE",ISNUMBER($E14)),SUMIF((OFFSET(CÁLCULO!$DO$15:$FM$15,$E14,0,OFFSET(ORÇAMENTO!$D$15,CRONO!$E14,0))),"="&amp;CRONO!AL$12,OFFSET(CÁLCULO!$BP$15:$DN$15,$E14,0,OFFSET(ORÇAMENTO!$D$15,CRONO!$E14,0)))+IF(AND($E16&lt;&gt;"",$E16&lt;&gt;0),SUMIF(CÁLCULO!$DO$15:$FM$33,"="&amp;CRONO!AL$12,CÁLCULO!$BP$15:$DN$33)/(ORÇAMENTO!$X$15-CÁLCULO.TotalAdmLocal)*CRONO!$E16,0),AL15*$R14),SUMIF(OFFSET($R16,1,0,$Q14-2),($L14+1)&amp;"$",OFFSET(AL16,1,0,$Q14-2)))</f>
        <v>0</v>
      </c>
      <c r="AM16" s="253">
        <f ca="1">IF($Q14=2,IF(AND(ACOMPANHAMENTO="PLE",ISNUMBER($E14)),SUMIF((OFFSET(CÁLCULO!$DO$15:$FM$15,$E14,0,OFFSET(ORÇAMENTO!$D$15,CRONO!$E14,0))),"="&amp;CRONO!AM$12,OFFSET(CÁLCULO!$BP$15:$DN$15,$E14,0,OFFSET(ORÇAMENTO!$D$15,CRONO!$E14,0)))+IF(AND($E16&lt;&gt;"",$E16&lt;&gt;0),SUMIF(CÁLCULO!$DO$15:$FM$33,"="&amp;CRONO!AM$12,CÁLCULO!$BP$15:$DN$33)/(ORÇAMENTO!$X$15-CÁLCULO.TotalAdmLocal)*CRONO!$E16,0),AM15*$R14),SUMIF(OFFSET($R16,1,0,$Q14-2),($L14+1)&amp;"$",OFFSET(AM16,1,0,$Q14-2)))</f>
        <v>0</v>
      </c>
      <c r="AN16" s="253">
        <f ca="1">IF($Q14=2,IF(AND(ACOMPANHAMENTO="PLE",ISNUMBER($E14)),SUMIF((OFFSET(CÁLCULO!$DO$15:$FM$15,$E14,0,OFFSET(ORÇAMENTO!$D$15,CRONO!$E14,0))),"="&amp;CRONO!AN$12,OFFSET(CÁLCULO!$BP$15:$DN$15,$E14,0,OFFSET(ORÇAMENTO!$D$15,CRONO!$E14,0)))+IF(AND($E16&lt;&gt;"",$E16&lt;&gt;0),SUMIF(CÁLCULO!$DO$15:$FM$33,"="&amp;CRONO!AN$12,CÁLCULO!$BP$15:$DN$33)/(ORÇAMENTO!$X$15-CÁLCULO.TotalAdmLocal)*CRONO!$E16,0),AN15*$R14),SUMIF(OFFSET($R16,1,0,$Q14-2),($L14+1)&amp;"$",OFFSET(AN16,1,0,$Q14-2)))</f>
        <v>0</v>
      </c>
      <c r="AO16" s="253">
        <f ca="1">IF($Q14=2,IF(AND(ACOMPANHAMENTO="PLE",ISNUMBER($E14)),SUMIF((OFFSET(CÁLCULO!$DO$15:$FM$15,$E14,0,OFFSET(ORÇAMENTO!$D$15,CRONO!$E14,0))),"="&amp;CRONO!AO$12,OFFSET(CÁLCULO!$BP$15:$DN$15,$E14,0,OFFSET(ORÇAMENTO!$D$15,CRONO!$E14,0)))+IF(AND($E16&lt;&gt;"",$E16&lt;&gt;0),SUMIF(CÁLCULO!$DO$15:$FM$33,"="&amp;CRONO!AO$12,CÁLCULO!$BP$15:$DN$33)/(ORÇAMENTO!$X$15-CÁLCULO.TotalAdmLocal)*CRONO!$E16,0),AO15*$R14),SUMIF(OFFSET($R16,1,0,$Q14-2),($L14+1)&amp;"$",OFFSET(AO16,1,0,$Q14-2)))</f>
        <v>0</v>
      </c>
      <c r="AP16" s="253">
        <f ca="1">IF($Q14=2,IF(AND(ACOMPANHAMENTO="PLE",ISNUMBER($E14)),SUMIF((OFFSET(CÁLCULO!$DO$15:$FM$15,$E14,0,OFFSET(ORÇAMENTO!$D$15,CRONO!$E14,0))),"="&amp;CRONO!AP$12,OFFSET(CÁLCULO!$BP$15:$DN$15,$E14,0,OFFSET(ORÇAMENTO!$D$15,CRONO!$E14,0)))+IF(AND($E16&lt;&gt;"",$E16&lt;&gt;0),SUMIF(CÁLCULO!$DO$15:$FM$33,"="&amp;CRONO!AP$12,CÁLCULO!$BP$15:$DN$33)/(ORÇAMENTO!$X$15-CÁLCULO.TotalAdmLocal)*CRONO!$E16,0),AP15*$R14),SUMIF(OFFSET($R16,1,0,$Q14-2),($L14+1)&amp;"$",OFFSET(AP16,1,0,$Q14-2)))</f>
        <v>0</v>
      </c>
      <c r="AQ16" s="258">
        <f ca="1">IF($Q14=2,IF(AND(ACOMPANHAMENTO="PLE",ISNUMBER($E14)),SUMIF((OFFSET(CÁLCULO!$DO$15:$FM$15,$E14,0,OFFSET(ORÇAMENTO!$D$15,CRONO!$E14,0))),"="&amp;CRONO!AQ$12,OFFSET(CÁLCULO!$BP$15:$DN$15,$E14,0,OFFSET(ORÇAMENTO!$D$15,CRONO!$E14,0)))+IF(AND($E16&lt;&gt;"",$E16&lt;&gt;0),SUMIF(CÁLCULO!$DO$15:$FM$33,"="&amp;CRONO!AQ$12,CÁLCULO!$BP$15:$DN$33)/(ORÇAMENTO!$X$15-CÁLCULO.TotalAdmLocal)*CRONO!$E16,0),AQ15*$R14),SUMIF(OFFSET($R16,1,0,$Q14-2),($L14+1)&amp;"$",OFFSET(AQ16,1,0,$Q14-2)))</f>
        <v>0</v>
      </c>
    </row>
    <row r="17" spans="1:44" x14ac:dyDescent="0.2">
      <c r="A17" s="234">
        <f ca="1">OFFSET(A17,-3,0)+1</f>
        <v>2</v>
      </c>
      <c r="B17" s="234">
        <f ca="1">IF($Q17&lt;&gt;2,0,IF($R17=0,1,IF(E18&gt;0,OFFSET(QCI!$M$13,SUBSTITUTE(E18,".",""),0),OFFSET(ORÇAMENTO!$AA$15,CRONO!$E17,0))/$R17))</f>
        <v>3.9997156461424779E-2</v>
      </c>
      <c r="C17" s="234">
        <f ca="1">IF($Q17&lt;&gt;2,0,IF($R17=0,1,IF(E18&gt;0,OFFSET(QCI!$N$13,SUBSTITUTE(E18,".",""),0),OFFSET(ORÇAMENTO!$AB$15,CRONO!$E17,0))/$R17))</f>
        <v>0</v>
      </c>
      <c r="D17" s="237">
        <f ca="1">IF(AND($Q17=2,ACOMPANHAMENTO="BM"),D18,D19/$R17)</f>
        <v>0.51945655073612973</v>
      </c>
      <c r="E17" s="234">
        <f ca="1">IF(A17&lt;=ORÇAMENTO.MáximoListaCrono,MATCH(A17,ORÇAMENTO.ListaCrono,0),NA())</f>
        <v>2</v>
      </c>
      <c r="F17" s="234" t="str">
        <f ca="1">IF(AND($E18&lt;&gt;-1,$R17&gt;0),"F","")</f>
        <v>F</v>
      </c>
      <c r="G17" s="238" t="str">
        <f ca="1">IF(OR(R17=0,R17=""),"Linha",IF(AND(OR(ACOMPANHAMENTO="PLE",$Q17&lt;&gt;2),$E18=0),"Linha",1-SUM(T17:AR17)))</f>
        <v>Linha</v>
      </c>
      <c r="H17" s="239" t="str">
        <f ca="1">IF($E18=0,OFFSET(ORÇAMENTO!O$15,$E17,0),IF($E18&lt;&gt;-1,OFFSET(QCI!$D$13,$E18,0),""))</f>
        <v>1.1.</v>
      </c>
      <c r="I17" s="240" t="str">
        <f ca="1">IF($E18=0,OFFSET(ORÇAMENTO!R$15,$E17,0),IF($E18&lt;&gt;-1,OFFSET(QCI!$G$13,$E18,0),""))</f>
        <v>SERVIÇOS PRELIMINARES</v>
      </c>
      <c r="J17" s="240"/>
      <c r="K17" s="240"/>
      <c r="L17" s="241">
        <f ca="1">IF($E18=0,OFFSET(ORÇAMENTO!C$15,$E17,0),1)</f>
        <v>2</v>
      </c>
      <c r="M17" s="242">
        <f ca="1">IF($E18=-1,0,IF(M$13&lt;=$L17,IF(ISERROR(MATCH(M$13,OFFSET($L17,1,0,ROW($L$32)-ROW($L17)-1),0)),ROW($L$32)-ROW($L17)-1,MATCH(M$13,OFFSET($L17,1,0,ROW($L$32)-ROW($L17)-1),0)-1),0))</f>
        <v>14</v>
      </c>
      <c r="N17" s="242">
        <f ca="1">IF($E18=-1,0,IF(N$13&lt;=$L17,IF(ISERROR(MATCH(N$13,OFFSET($L17,1,0,ROW($L$32)-ROW($L17)-1),0)),ROW($L$32)-ROW($L17)-1,MATCH(N$13,OFFSET($L17,1,0,ROW($L$32)-ROW($L17)-1),0)-1),0))</f>
        <v>2</v>
      </c>
      <c r="O17" s="242">
        <f ca="1">IF($E18=-1,0,IF(O$13&lt;=$L17,IF(ISERROR(MATCH(O$13,OFFSET($L17,1,0,ROW($L$32)-ROW($L17)-1),0)),ROW($L$32)-ROW($L17)-1,MATCH(O$13,OFFSET($L17,1,0,ROW($L$32)-ROW($L17)-1),0)-1),0))</f>
        <v>0</v>
      </c>
      <c r="P17" s="242">
        <f ca="1">IF($E18=-1,0,IF(P$13&lt;=$L17,IF(ISERROR(MATCH(P$13,OFFSET($L17,1,0,ROW($L$32)-ROW($L17)-1),0)),ROW($L$32)-ROW($L17)-1,MATCH(P$13,OFFSET($L17,1,0,ROW($L$32)-ROW($L17)-1),0)-1),0))</f>
        <v>0</v>
      </c>
      <c r="Q17" s="242">
        <f ca="1">MIN(OFFSET(L17,0,1,,L17))</f>
        <v>2</v>
      </c>
      <c r="R17" s="243">
        <f ca="1">IF($E18=0,OFFSET(ORÇAMENTO!X$15,$E17,0),IF($E18&lt;&gt;-1,OFFSET(QCI!$O$13,$E18,0),""))</f>
        <v>6784.81</v>
      </c>
      <c r="S17" s="244" t="s">
        <v>272</v>
      </c>
      <c r="T17" s="245">
        <f t="shared" ref="T17:AQ17" ca="1" si="5">IF(AND($Q17=2,ACOMPANHAMENTO="BM"),T18,T19/$R17)</f>
        <v>0.51945655073612973</v>
      </c>
      <c r="U17" s="237">
        <f t="shared" ca="1" si="5"/>
        <v>0.37177447857788204</v>
      </c>
      <c r="V17" s="237">
        <f t="shared" ca="1" si="5"/>
        <v>0.10876897068598826</v>
      </c>
      <c r="W17" s="237">
        <f t="shared" ca="1" si="5"/>
        <v>0</v>
      </c>
      <c r="X17" s="237">
        <f t="shared" ca="1" si="5"/>
        <v>0</v>
      </c>
      <c r="Y17" s="237">
        <f t="shared" ca="1" si="5"/>
        <v>0</v>
      </c>
      <c r="Z17" s="237">
        <f t="shared" ca="1" si="5"/>
        <v>0</v>
      </c>
      <c r="AA17" s="237">
        <f t="shared" ca="1" si="5"/>
        <v>0</v>
      </c>
      <c r="AB17" s="237">
        <f t="shared" ca="1" si="5"/>
        <v>0</v>
      </c>
      <c r="AC17" s="237">
        <f t="shared" ca="1" si="5"/>
        <v>0</v>
      </c>
      <c r="AD17" s="237">
        <f t="shared" ca="1" si="5"/>
        <v>0</v>
      </c>
      <c r="AE17" s="246">
        <f t="shared" ca="1" si="5"/>
        <v>0</v>
      </c>
      <c r="AF17" s="245">
        <f t="shared" ca="1" si="5"/>
        <v>0</v>
      </c>
      <c r="AG17" s="237">
        <f t="shared" ca="1" si="5"/>
        <v>0</v>
      </c>
      <c r="AH17" s="237">
        <f t="shared" ca="1" si="5"/>
        <v>0</v>
      </c>
      <c r="AI17" s="237">
        <f t="shared" ca="1" si="5"/>
        <v>0</v>
      </c>
      <c r="AJ17" s="237">
        <f t="shared" ca="1" si="5"/>
        <v>0</v>
      </c>
      <c r="AK17" s="237">
        <f t="shared" ca="1" si="5"/>
        <v>0</v>
      </c>
      <c r="AL17" s="237">
        <f t="shared" ca="1" si="5"/>
        <v>0</v>
      </c>
      <c r="AM17" s="237">
        <f t="shared" ca="1" si="5"/>
        <v>0</v>
      </c>
      <c r="AN17" s="237">
        <f t="shared" ca="1" si="5"/>
        <v>0</v>
      </c>
      <c r="AO17" s="237">
        <f t="shared" ca="1" si="5"/>
        <v>0</v>
      </c>
      <c r="AP17" s="237">
        <f t="shared" ca="1" si="5"/>
        <v>0</v>
      </c>
      <c r="AQ17" s="246">
        <f t="shared" ca="1" si="5"/>
        <v>0</v>
      </c>
    </row>
    <row r="18" spans="1:44" ht="12.75" customHeight="1" x14ac:dyDescent="0.2">
      <c r="D18" s="654"/>
      <c r="E18" s="234">
        <f ca="1">IF(ISERROR(E17),IF(1+COUNTIF($L$13:OFFSET(L17,-1,0),1)&lt;=MAX(QCI!$D$13:$D$23),1+COUNTIF($L$13:OFFSET(L17,-1,0),1),-1),0)</f>
        <v>0</v>
      </c>
      <c r="F18" s="234" t="str">
        <f ca="1">IF(AND($E18&lt;&gt;-1,$R17&gt;0),"F","")</f>
        <v>F</v>
      </c>
      <c r="G18" s="247" t="str">
        <f ca="1">IF(OR(R17=0,R17=""),"vazia",IF(AND(OR(ACOMPANHAMENTO="PLE",$Q17&lt;&gt;2),$E18=0),"calculada","--&gt;"))</f>
        <v>calculada</v>
      </c>
      <c r="H18" s="248"/>
      <c r="I18" s="249" t="str">
        <f ca="1">IF(AND(G17&lt;&gt;0,ISNUMBER(G17)),"PREENCHA ESTA LINHA --&gt;","")</f>
        <v/>
      </c>
      <c r="J18" s="249"/>
      <c r="K18" s="249"/>
      <c r="L18" s="250"/>
      <c r="M18" s="250"/>
      <c r="N18" s="250"/>
      <c r="O18" s="250"/>
      <c r="P18" s="250"/>
      <c r="Q18" s="250"/>
      <c r="R18" s="251"/>
      <c r="S18" s="252"/>
      <c r="T18" s="655"/>
      <c r="U18" s="654"/>
      <c r="V18" s="654"/>
      <c r="W18" s="654"/>
      <c r="X18" s="654"/>
      <c r="Y18" s="654"/>
      <c r="Z18" s="654"/>
      <c r="AA18" s="654"/>
      <c r="AB18" s="654"/>
      <c r="AC18" s="654"/>
      <c r="AD18" s="654"/>
      <c r="AE18" s="656"/>
      <c r="AF18" s="655"/>
      <c r="AG18" s="654"/>
      <c r="AH18" s="654"/>
      <c r="AI18" s="654"/>
      <c r="AJ18" s="654"/>
      <c r="AK18" s="654"/>
      <c r="AL18" s="654"/>
      <c r="AM18" s="654"/>
      <c r="AN18" s="654"/>
      <c r="AO18" s="654"/>
      <c r="AP18" s="654"/>
      <c r="AQ18" s="656"/>
      <c r="AR18" s="614"/>
    </row>
    <row r="19" spans="1:44" ht="0.2" hidden="1" customHeight="1" x14ac:dyDescent="0.2">
      <c r="D19" s="253">
        <f ca="1">IF($Q17=2,IF(AND(ACOMPANHAMENTO="PLE",ISNUMBER($E17)),SUMIF((OFFSET(CÁLCULO!$DO$15:$FM$15,$E17,0,OFFSET(ORÇAMENTO!$D$15,CRONO!$E17,0))),"="&amp;CRONO!D$12,OFFSET(CÁLCULO!$BP$15:$DN$15,$E17,0,OFFSET(ORÇAMENTO!$D$15,CRONO!$E17,0)))+IF(AND($E19&lt;&gt;"",$E19&lt;&gt;0),SUMIF(CÁLCULO!$DO$15:$FM$33,"="&amp;CRONO!D$12,CÁLCULO!$BP$15:$DN$33)/(ORÇAMENTO!$X$15-CÁLCULO.TotalAdmLocal)*CRONO!$E19,0),D18*$R17),SUMIF(OFFSET($R19,1,0,$Q17-2),($L17+1)&amp;"$",OFFSET(D19,1,0,$Q17-2)))</f>
        <v>3524.4140000000007</v>
      </c>
      <c r="E19" s="234" t="str">
        <f ca="1">IF(OR($Q17&lt;&gt;2,AUTOEVENTO&lt;&gt;"manual",$E18&gt;0),"",SUMIF(OFFSET(CÁLCULO!$M$15,CRONO!$E17,0,OFFSET(ORÇAMENTO!$D$15,CRONO!$E17,0)),1,OFFSET(ORÇAMENTO!$X$15,CRONO!$E17,0,OFFSET(ORÇAMENTO!$D$15,CRONO!$E17,0))))</f>
        <v/>
      </c>
      <c r="G19" s="254"/>
      <c r="R19" s="255" t="str">
        <f ca="1">L17&amp;"$"</f>
        <v>2$</v>
      </c>
      <c r="S19" s="256"/>
      <c r="T19" s="257">
        <f ca="1">IF($Q17=2,IF(AND(ACOMPANHAMENTO="PLE",ISNUMBER($E17)),SUMIF((OFFSET(CÁLCULO!$DO$15:$FM$15,$E17,0,OFFSET(ORÇAMENTO!$D$15,CRONO!$E17,0))),"&lt;="&amp;CRONO!T$12,OFFSET(CÁLCULO!$BP$15:$DN$15,$E17,0,OFFSET(ORÇAMENTO!$D$15,CRONO!$E17,0)))+IF(AND($E19&lt;&gt;"",$E19&lt;&gt;0),SUMIF(CÁLCULO!$DO$15:$FM$33,"&lt;="&amp;CRONO!T$12,CÁLCULO!$BP$15:$DN$33)/(ORÇAMENTO!$X$15-CÁLCULO.TotalAdmLocal)*CRONO!$E19,0),T18*$R17),SUMIF(OFFSET($R19,1,0,$Q17-2),($L17+1)&amp;"$",OFFSET(T19,1,0,$Q17-2)))</f>
        <v>3524.4140000000007</v>
      </c>
      <c r="U19" s="253">
        <f ca="1">IF($Q17=2,IF(AND(ACOMPANHAMENTO="PLE",ISNUMBER($E17)),SUMIF((OFFSET(CÁLCULO!$DO$15:$FM$15,$E17,0,OFFSET(ORÇAMENTO!$D$15,CRONO!$E17,0))),"="&amp;CRONO!U$12,OFFSET(CÁLCULO!$BP$15:$DN$15,$E17,0,OFFSET(ORÇAMENTO!$D$15,CRONO!$E17,0)))+IF(AND($E19&lt;&gt;"",$E19&lt;&gt;0),SUMIF(CÁLCULO!$DO$15:$FM$33,"="&amp;CRONO!U$12,CÁLCULO!$BP$15:$DN$33)/(ORÇAMENTO!$X$15-CÁLCULO.TotalAdmLocal)*CRONO!$E19,0),U18*$R17),SUMIF(OFFSET($R19,1,0,$Q17-2),($L17+1)&amp;"$",OFFSET(U19,1,0,$Q17-2)))</f>
        <v>2522.4191999999998</v>
      </c>
      <c r="V19" s="253">
        <f ca="1">IF($Q17=2,IF(AND(ACOMPANHAMENTO="PLE",ISNUMBER($E17)),SUMIF((OFFSET(CÁLCULO!$DO$15:$FM$15,$E17,0,OFFSET(ORÇAMENTO!$D$15,CRONO!$E17,0))),"="&amp;CRONO!V$12,OFFSET(CÁLCULO!$BP$15:$DN$15,$E17,0,OFFSET(ORÇAMENTO!$D$15,CRONO!$E17,0)))+IF(AND($E19&lt;&gt;"",$E19&lt;&gt;0),SUMIF(CÁLCULO!$DO$15:$FM$33,"="&amp;CRONO!V$12,CÁLCULO!$BP$15:$DN$33)/(ORÇAMENTO!$X$15-CÁLCULO.TotalAdmLocal)*CRONO!$E19,0),V18*$R17),SUMIF(OFFSET($R19,1,0,$Q17-2),($L17+1)&amp;"$",OFFSET(V19,1,0,$Q17-2)))</f>
        <v>737.97680000000003</v>
      </c>
      <c r="W19" s="253">
        <f ca="1">IF($Q17=2,IF(AND(ACOMPANHAMENTO="PLE",ISNUMBER($E17)),SUMIF((OFFSET(CÁLCULO!$DO$15:$FM$15,$E17,0,OFFSET(ORÇAMENTO!$D$15,CRONO!$E17,0))),"="&amp;CRONO!W$12,OFFSET(CÁLCULO!$BP$15:$DN$15,$E17,0,OFFSET(ORÇAMENTO!$D$15,CRONO!$E17,0)))+IF(AND($E19&lt;&gt;"",$E19&lt;&gt;0),SUMIF(CÁLCULO!$DO$15:$FM$33,"="&amp;CRONO!W$12,CÁLCULO!$BP$15:$DN$33)/(ORÇAMENTO!$X$15-CÁLCULO.TotalAdmLocal)*CRONO!$E19,0),W18*$R17),SUMIF(OFFSET($R19,1,0,$Q17-2),($L17+1)&amp;"$",OFFSET(W19,1,0,$Q17-2)))</f>
        <v>0</v>
      </c>
      <c r="X19" s="253">
        <f ca="1">IF($Q17=2,IF(AND(ACOMPANHAMENTO="PLE",ISNUMBER($E17)),SUMIF((OFFSET(CÁLCULO!$DO$15:$FM$15,$E17,0,OFFSET(ORÇAMENTO!$D$15,CRONO!$E17,0))),"="&amp;CRONO!X$12,OFFSET(CÁLCULO!$BP$15:$DN$15,$E17,0,OFFSET(ORÇAMENTO!$D$15,CRONO!$E17,0)))+IF(AND($E19&lt;&gt;"",$E19&lt;&gt;0),SUMIF(CÁLCULO!$DO$15:$FM$33,"="&amp;CRONO!X$12,CÁLCULO!$BP$15:$DN$33)/(ORÇAMENTO!$X$15-CÁLCULO.TotalAdmLocal)*CRONO!$E19,0),X18*$R17),SUMIF(OFFSET($R19,1,0,$Q17-2),($L17+1)&amp;"$",OFFSET(X19,1,0,$Q17-2)))</f>
        <v>0</v>
      </c>
      <c r="Y19" s="253">
        <f ca="1">IF($Q17=2,IF(AND(ACOMPANHAMENTO="PLE",ISNUMBER($E17)),SUMIF((OFFSET(CÁLCULO!$DO$15:$FM$15,$E17,0,OFFSET(ORÇAMENTO!$D$15,CRONO!$E17,0))),"="&amp;CRONO!Y$12,OFFSET(CÁLCULO!$BP$15:$DN$15,$E17,0,OFFSET(ORÇAMENTO!$D$15,CRONO!$E17,0)))+IF(AND($E19&lt;&gt;"",$E19&lt;&gt;0),SUMIF(CÁLCULO!$DO$15:$FM$33,"="&amp;CRONO!Y$12,CÁLCULO!$BP$15:$DN$33)/(ORÇAMENTO!$X$15-CÁLCULO.TotalAdmLocal)*CRONO!$E19,0),Y18*$R17),SUMIF(OFFSET($R19,1,0,$Q17-2),($L17+1)&amp;"$",OFFSET(Y19,1,0,$Q17-2)))</f>
        <v>0</v>
      </c>
      <c r="Z19" s="253">
        <f ca="1">IF($Q17=2,IF(AND(ACOMPANHAMENTO="PLE",ISNUMBER($E17)),SUMIF((OFFSET(CÁLCULO!$DO$15:$FM$15,$E17,0,OFFSET(ORÇAMENTO!$D$15,CRONO!$E17,0))),"="&amp;CRONO!Z$12,OFFSET(CÁLCULO!$BP$15:$DN$15,$E17,0,OFFSET(ORÇAMENTO!$D$15,CRONO!$E17,0)))+IF(AND($E19&lt;&gt;"",$E19&lt;&gt;0),SUMIF(CÁLCULO!$DO$15:$FM$33,"="&amp;CRONO!Z$12,CÁLCULO!$BP$15:$DN$33)/(ORÇAMENTO!$X$15-CÁLCULO.TotalAdmLocal)*CRONO!$E19,0),Z18*$R17),SUMIF(OFFSET($R19,1,0,$Q17-2),($L17+1)&amp;"$",OFFSET(Z19,1,0,$Q17-2)))</f>
        <v>0</v>
      </c>
      <c r="AA19" s="253">
        <f ca="1">IF($Q17=2,IF(AND(ACOMPANHAMENTO="PLE",ISNUMBER($E17)),SUMIF((OFFSET(CÁLCULO!$DO$15:$FM$15,$E17,0,OFFSET(ORÇAMENTO!$D$15,CRONO!$E17,0))),"="&amp;CRONO!AA$12,OFFSET(CÁLCULO!$BP$15:$DN$15,$E17,0,OFFSET(ORÇAMENTO!$D$15,CRONO!$E17,0)))+IF(AND($E19&lt;&gt;"",$E19&lt;&gt;0),SUMIF(CÁLCULO!$DO$15:$FM$33,"="&amp;CRONO!AA$12,CÁLCULO!$BP$15:$DN$33)/(ORÇAMENTO!$X$15-CÁLCULO.TotalAdmLocal)*CRONO!$E19,0),AA18*$R17),SUMIF(OFFSET($R19,1,0,$Q17-2),($L17+1)&amp;"$",OFFSET(AA19,1,0,$Q17-2)))</f>
        <v>0</v>
      </c>
      <c r="AB19" s="253">
        <f ca="1">IF($Q17=2,IF(AND(ACOMPANHAMENTO="PLE",ISNUMBER($E17)),SUMIF((OFFSET(CÁLCULO!$DO$15:$FM$15,$E17,0,OFFSET(ORÇAMENTO!$D$15,CRONO!$E17,0))),"="&amp;CRONO!AB$12,OFFSET(CÁLCULO!$BP$15:$DN$15,$E17,0,OFFSET(ORÇAMENTO!$D$15,CRONO!$E17,0)))+IF(AND($E19&lt;&gt;"",$E19&lt;&gt;0),SUMIF(CÁLCULO!$DO$15:$FM$33,"="&amp;CRONO!AB$12,CÁLCULO!$BP$15:$DN$33)/(ORÇAMENTO!$X$15-CÁLCULO.TotalAdmLocal)*CRONO!$E19,0),AB18*$R17),SUMIF(OFFSET($R19,1,0,$Q17-2),($L17+1)&amp;"$",OFFSET(AB19,1,0,$Q17-2)))</f>
        <v>0</v>
      </c>
      <c r="AC19" s="253">
        <f ca="1">IF($Q17=2,IF(AND(ACOMPANHAMENTO="PLE",ISNUMBER($E17)),SUMIF((OFFSET(CÁLCULO!$DO$15:$FM$15,$E17,0,OFFSET(ORÇAMENTO!$D$15,CRONO!$E17,0))),"="&amp;CRONO!AC$12,OFFSET(CÁLCULO!$BP$15:$DN$15,$E17,0,OFFSET(ORÇAMENTO!$D$15,CRONO!$E17,0)))+IF(AND($E19&lt;&gt;"",$E19&lt;&gt;0),SUMIF(CÁLCULO!$DO$15:$FM$33,"="&amp;CRONO!AC$12,CÁLCULO!$BP$15:$DN$33)/(ORÇAMENTO!$X$15-CÁLCULO.TotalAdmLocal)*CRONO!$E19,0),AC18*$R17),SUMIF(OFFSET($R19,1,0,$Q17-2),($L17+1)&amp;"$",OFFSET(AC19,1,0,$Q17-2)))</f>
        <v>0</v>
      </c>
      <c r="AD19" s="253">
        <f ca="1">IF($Q17=2,IF(AND(ACOMPANHAMENTO="PLE",ISNUMBER($E17)),SUMIF((OFFSET(CÁLCULO!$DO$15:$FM$15,$E17,0,OFFSET(ORÇAMENTO!$D$15,CRONO!$E17,0))),"="&amp;CRONO!AD$12,OFFSET(CÁLCULO!$BP$15:$DN$15,$E17,0,OFFSET(ORÇAMENTO!$D$15,CRONO!$E17,0)))+IF(AND($E19&lt;&gt;"",$E19&lt;&gt;0),SUMIF(CÁLCULO!$DO$15:$FM$33,"="&amp;CRONO!AD$12,CÁLCULO!$BP$15:$DN$33)/(ORÇAMENTO!$X$15-CÁLCULO.TotalAdmLocal)*CRONO!$E19,0),AD18*$R17),SUMIF(OFFSET($R19,1,0,$Q17-2),($L17+1)&amp;"$",OFFSET(AD19,1,0,$Q17-2)))</f>
        <v>0</v>
      </c>
      <c r="AE19" s="258">
        <f ca="1">IF($Q17=2,IF(AND(ACOMPANHAMENTO="PLE",ISNUMBER($E17)),SUMIF((OFFSET(CÁLCULO!$DO$15:$FM$15,$E17,0,OFFSET(ORÇAMENTO!$D$15,CRONO!$E17,0))),"="&amp;CRONO!AE$12,OFFSET(CÁLCULO!$BP$15:$DN$15,$E17,0,OFFSET(ORÇAMENTO!$D$15,CRONO!$E17,0)))+IF(AND($E19&lt;&gt;"",$E19&lt;&gt;0),SUMIF(CÁLCULO!$DO$15:$FM$33,"="&amp;CRONO!AE$12,CÁLCULO!$BP$15:$DN$33)/(ORÇAMENTO!$X$15-CÁLCULO.TotalAdmLocal)*CRONO!$E19,0),AE18*$R17),SUMIF(OFFSET($R19,1,0,$Q17-2),($L17+1)&amp;"$",OFFSET(AE19,1,0,$Q17-2)))</f>
        <v>0</v>
      </c>
      <c r="AF19" s="257">
        <f ca="1">IF($Q17=2,IF(AND(ACOMPANHAMENTO="PLE",ISNUMBER($E17)),SUMIF((OFFSET(CÁLCULO!$DO$15:$FM$15,$E17,0,OFFSET(ORÇAMENTO!$D$15,CRONO!$E17,0))),"="&amp;CRONO!AF$12,OFFSET(CÁLCULO!$BP$15:$DN$15,$E17,0,OFFSET(ORÇAMENTO!$D$15,CRONO!$E17,0)))+IF(AND($E19&lt;&gt;"",$E19&lt;&gt;0),SUMIF(CÁLCULO!$DO$15:$FM$33,"="&amp;CRONO!AF$12,CÁLCULO!$BP$15:$DN$33)/(ORÇAMENTO!$X$15-CÁLCULO.TotalAdmLocal)*CRONO!$E19,0),AF18*$R17),SUMIF(OFFSET($R19,1,0,$Q17-2),($L17+1)&amp;"$",OFFSET(AF19,1,0,$Q17-2)))</f>
        <v>0</v>
      </c>
      <c r="AG19" s="253">
        <f ca="1">IF($Q17=2,IF(AND(ACOMPANHAMENTO="PLE",ISNUMBER($E17)),SUMIF((OFFSET(CÁLCULO!$DO$15:$FM$15,$E17,0,OFFSET(ORÇAMENTO!$D$15,CRONO!$E17,0))),"="&amp;CRONO!AG$12,OFFSET(CÁLCULO!$BP$15:$DN$15,$E17,0,OFFSET(ORÇAMENTO!$D$15,CRONO!$E17,0)))+IF(AND($E19&lt;&gt;"",$E19&lt;&gt;0),SUMIF(CÁLCULO!$DO$15:$FM$33,"="&amp;CRONO!AG$12,CÁLCULO!$BP$15:$DN$33)/(ORÇAMENTO!$X$15-CÁLCULO.TotalAdmLocal)*CRONO!$E19,0),AG18*$R17),SUMIF(OFFSET($R19,1,0,$Q17-2),($L17+1)&amp;"$",OFFSET(AG19,1,0,$Q17-2)))</f>
        <v>0</v>
      </c>
      <c r="AH19" s="253">
        <f ca="1">IF($Q17=2,IF(AND(ACOMPANHAMENTO="PLE",ISNUMBER($E17)),SUMIF((OFFSET(CÁLCULO!$DO$15:$FM$15,$E17,0,OFFSET(ORÇAMENTO!$D$15,CRONO!$E17,0))),"="&amp;CRONO!AH$12,OFFSET(CÁLCULO!$BP$15:$DN$15,$E17,0,OFFSET(ORÇAMENTO!$D$15,CRONO!$E17,0)))+IF(AND($E19&lt;&gt;"",$E19&lt;&gt;0),SUMIF(CÁLCULO!$DO$15:$FM$33,"="&amp;CRONO!AH$12,CÁLCULO!$BP$15:$DN$33)/(ORÇAMENTO!$X$15-CÁLCULO.TotalAdmLocal)*CRONO!$E19,0),AH18*$R17),SUMIF(OFFSET($R19,1,0,$Q17-2),($L17+1)&amp;"$",OFFSET(AH19,1,0,$Q17-2)))</f>
        <v>0</v>
      </c>
      <c r="AI19" s="253">
        <f ca="1">IF($Q17=2,IF(AND(ACOMPANHAMENTO="PLE",ISNUMBER($E17)),SUMIF((OFFSET(CÁLCULO!$DO$15:$FM$15,$E17,0,OFFSET(ORÇAMENTO!$D$15,CRONO!$E17,0))),"="&amp;CRONO!AI$12,OFFSET(CÁLCULO!$BP$15:$DN$15,$E17,0,OFFSET(ORÇAMENTO!$D$15,CRONO!$E17,0)))+IF(AND($E19&lt;&gt;"",$E19&lt;&gt;0),SUMIF(CÁLCULO!$DO$15:$FM$33,"="&amp;CRONO!AI$12,CÁLCULO!$BP$15:$DN$33)/(ORÇAMENTO!$X$15-CÁLCULO.TotalAdmLocal)*CRONO!$E19,0),AI18*$R17),SUMIF(OFFSET($R19,1,0,$Q17-2),($L17+1)&amp;"$",OFFSET(AI19,1,0,$Q17-2)))</f>
        <v>0</v>
      </c>
      <c r="AJ19" s="253">
        <f ca="1">IF($Q17=2,IF(AND(ACOMPANHAMENTO="PLE",ISNUMBER($E17)),SUMIF((OFFSET(CÁLCULO!$DO$15:$FM$15,$E17,0,OFFSET(ORÇAMENTO!$D$15,CRONO!$E17,0))),"="&amp;CRONO!AJ$12,OFFSET(CÁLCULO!$BP$15:$DN$15,$E17,0,OFFSET(ORÇAMENTO!$D$15,CRONO!$E17,0)))+IF(AND($E19&lt;&gt;"",$E19&lt;&gt;0),SUMIF(CÁLCULO!$DO$15:$FM$33,"="&amp;CRONO!AJ$12,CÁLCULO!$BP$15:$DN$33)/(ORÇAMENTO!$X$15-CÁLCULO.TotalAdmLocal)*CRONO!$E19,0),AJ18*$R17),SUMIF(OFFSET($R19,1,0,$Q17-2),($L17+1)&amp;"$",OFFSET(AJ19,1,0,$Q17-2)))</f>
        <v>0</v>
      </c>
      <c r="AK19" s="253">
        <f ca="1">IF($Q17=2,IF(AND(ACOMPANHAMENTO="PLE",ISNUMBER($E17)),SUMIF((OFFSET(CÁLCULO!$DO$15:$FM$15,$E17,0,OFFSET(ORÇAMENTO!$D$15,CRONO!$E17,0))),"="&amp;CRONO!AK$12,OFFSET(CÁLCULO!$BP$15:$DN$15,$E17,0,OFFSET(ORÇAMENTO!$D$15,CRONO!$E17,0)))+IF(AND($E19&lt;&gt;"",$E19&lt;&gt;0),SUMIF(CÁLCULO!$DO$15:$FM$33,"="&amp;CRONO!AK$12,CÁLCULO!$BP$15:$DN$33)/(ORÇAMENTO!$X$15-CÁLCULO.TotalAdmLocal)*CRONO!$E19,0),AK18*$R17),SUMIF(OFFSET($R19,1,0,$Q17-2),($L17+1)&amp;"$",OFFSET(AK19,1,0,$Q17-2)))</f>
        <v>0</v>
      </c>
      <c r="AL19" s="253">
        <f ca="1">IF($Q17=2,IF(AND(ACOMPANHAMENTO="PLE",ISNUMBER($E17)),SUMIF((OFFSET(CÁLCULO!$DO$15:$FM$15,$E17,0,OFFSET(ORÇAMENTO!$D$15,CRONO!$E17,0))),"="&amp;CRONO!AL$12,OFFSET(CÁLCULO!$BP$15:$DN$15,$E17,0,OFFSET(ORÇAMENTO!$D$15,CRONO!$E17,0)))+IF(AND($E19&lt;&gt;"",$E19&lt;&gt;0),SUMIF(CÁLCULO!$DO$15:$FM$33,"="&amp;CRONO!AL$12,CÁLCULO!$BP$15:$DN$33)/(ORÇAMENTO!$X$15-CÁLCULO.TotalAdmLocal)*CRONO!$E19,0),AL18*$R17),SUMIF(OFFSET($R19,1,0,$Q17-2),($L17+1)&amp;"$",OFFSET(AL19,1,0,$Q17-2)))</f>
        <v>0</v>
      </c>
      <c r="AM19" s="253">
        <f ca="1">IF($Q17=2,IF(AND(ACOMPANHAMENTO="PLE",ISNUMBER($E17)),SUMIF((OFFSET(CÁLCULO!$DO$15:$FM$15,$E17,0,OFFSET(ORÇAMENTO!$D$15,CRONO!$E17,0))),"="&amp;CRONO!AM$12,OFFSET(CÁLCULO!$BP$15:$DN$15,$E17,0,OFFSET(ORÇAMENTO!$D$15,CRONO!$E17,0)))+IF(AND($E19&lt;&gt;"",$E19&lt;&gt;0),SUMIF(CÁLCULO!$DO$15:$FM$33,"="&amp;CRONO!AM$12,CÁLCULO!$BP$15:$DN$33)/(ORÇAMENTO!$X$15-CÁLCULO.TotalAdmLocal)*CRONO!$E19,0),AM18*$R17),SUMIF(OFFSET($R19,1,0,$Q17-2),($L17+1)&amp;"$",OFFSET(AM19,1,0,$Q17-2)))</f>
        <v>0</v>
      </c>
      <c r="AN19" s="253">
        <f ca="1">IF($Q17=2,IF(AND(ACOMPANHAMENTO="PLE",ISNUMBER($E17)),SUMIF((OFFSET(CÁLCULO!$DO$15:$FM$15,$E17,0,OFFSET(ORÇAMENTO!$D$15,CRONO!$E17,0))),"="&amp;CRONO!AN$12,OFFSET(CÁLCULO!$BP$15:$DN$15,$E17,0,OFFSET(ORÇAMENTO!$D$15,CRONO!$E17,0)))+IF(AND($E19&lt;&gt;"",$E19&lt;&gt;0),SUMIF(CÁLCULO!$DO$15:$FM$33,"="&amp;CRONO!AN$12,CÁLCULO!$BP$15:$DN$33)/(ORÇAMENTO!$X$15-CÁLCULO.TotalAdmLocal)*CRONO!$E19,0),AN18*$R17),SUMIF(OFFSET($R19,1,0,$Q17-2),($L17+1)&amp;"$",OFFSET(AN19,1,0,$Q17-2)))</f>
        <v>0</v>
      </c>
      <c r="AO19" s="253">
        <f ca="1">IF($Q17=2,IF(AND(ACOMPANHAMENTO="PLE",ISNUMBER($E17)),SUMIF((OFFSET(CÁLCULO!$DO$15:$FM$15,$E17,0,OFFSET(ORÇAMENTO!$D$15,CRONO!$E17,0))),"="&amp;CRONO!AO$12,OFFSET(CÁLCULO!$BP$15:$DN$15,$E17,0,OFFSET(ORÇAMENTO!$D$15,CRONO!$E17,0)))+IF(AND($E19&lt;&gt;"",$E19&lt;&gt;0),SUMIF(CÁLCULO!$DO$15:$FM$33,"="&amp;CRONO!AO$12,CÁLCULO!$BP$15:$DN$33)/(ORÇAMENTO!$X$15-CÁLCULO.TotalAdmLocal)*CRONO!$E19,0),AO18*$R17),SUMIF(OFFSET($R19,1,0,$Q17-2),($L17+1)&amp;"$",OFFSET(AO19,1,0,$Q17-2)))</f>
        <v>0</v>
      </c>
      <c r="AP19" s="253">
        <f ca="1">IF($Q17=2,IF(AND(ACOMPANHAMENTO="PLE",ISNUMBER($E17)),SUMIF((OFFSET(CÁLCULO!$DO$15:$FM$15,$E17,0,OFFSET(ORÇAMENTO!$D$15,CRONO!$E17,0))),"="&amp;CRONO!AP$12,OFFSET(CÁLCULO!$BP$15:$DN$15,$E17,0,OFFSET(ORÇAMENTO!$D$15,CRONO!$E17,0)))+IF(AND($E19&lt;&gt;"",$E19&lt;&gt;0),SUMIF(CÁLCULO!$DO$15:$FM$33,"="&amp;CRONO!AP$12,CÁLCULO!$BP$15:$DN$33)/(ORÇAMENTO!$X$15-CÁLCULO.TotalAdmLocal)*CRONO!$E19,0),AP18*$R17),SUMIF(OFFSET($R19,1,0,$Q17-2),($L17+1)&amp;"$",OFFSET(AP19,1,0,$Q17-2)))</f>
        <v>0</v>
      </c>
      <c r="AQ19" s="258">
        <f ca="1">IF($Q17=2,IF(AND(ACOMPANHAMENTO="PLE",ISNUMBER($E17)),SUMIF((OFFSET(CÁLCULO!$DO$15:$FM$15,$E17,0,OFFSET(ORÇAMENTO!$D$15,CRONO!$E17,0))),"="&amp;CRONO!AQ$12,OFFSET(CÁLCULO!$BP$15:$DN$15,$E17,0,OFFSET(ORÇAMENTO!$D$15,CRONO!$E17,0)))+IF(AND($E19&lt;&gt;"",$E19&lt;&gt;0),SUMIF(CÁLCULO!$DO$15:$FM$33,"="&amp;CRONO!AQ$12,CÁLCULO!$BP$15:$DN$33)/(ORÇAMENTO!$X$15-CÁLCULO.TotalAdmLocal)*CRONO!$E19,0),AQ18*$R17),SUMIF(OFFSET($R19,1,0,$Q17-2),($L17+1)&amp;"$",OFFSET(AQ19,1,0,$Q17-2)))</f>
        <v>0</v>
      </c>
    </row>
    <row r="20" spans="1:44" x14ac:dyDescent="0.2">
      <c r="A20" s="234">
        <f ca="1">OFFSET(A20,-3,0)+1</f>
        <v>3</v>
      </c>
      <c r="B20" s="234">
        <f ca="1">IF($Q20&lt;&gt;2,0,IF($R20=0,1,IF(E21&gt;0,OFFSET(QCI!$M$13,SUBSTITUTE(E21,".",""),0),OFFSET(ORÇAMENTO!$AA$15,CRONO!$E20,0))/$R20))</f>
        <v>3.9997156461424786E-2</v>
      </c>
      <c r="C20" s="234">
        <f ca="1">IF($Q20&lt;&gt;2,0,IF($R20=0,1,IF(E21&gt;0,OFFSET(QCI!$N$13,SUBSTITUTE(E21,".",""),0),OFFSET(ORÇAMENTO!$AB$15,CRONO!$E20,0))/$R20))</f>
        <v>0</v>
      </c>
      <c r="D20" s="237">
        <f ca="1">IF(AND($Q20=2,ACOMPANHAMENTO="BM"),D21,D22/$R20)</f>
        <v>0.33823529411764702</v>
      </c>
      <c r="E20" s="234">
        <f ca="1">IF(A20&lt;=ORÇAMENTO.MáximoListaCrono,MATCH(A20,ORÇAMENTO.ListaCrono,0),NA())</f>
        <v>5</v>
      </c>
      <c r="F20" s="234" t="str">
        <f ca="1">IF(AND($E21&lt;&gt;-1,$R20&gt;0),"F","")</f>
        <v>F</v>
      </c>
      <c r="G20" s="238" t="str">
        <f ca="1">IF(OR(R20=0,R20=""),"Linha",IF(AND(OR(ACOMPANHAMENTO="PLE",$Q20&lt;&gt;2),$E21=0),"Linha",1-SUM(T20:AR20)))</f>
        <v>Linha</v>
      </c>
      <c r="H20" s="239" t="str">
        <f ca="1">IF($E21=0,OFFSET(ORÇAMENTO!O$15,$E20,0),IF($E21&lt;&gt;-1,OFFSET(QCI!$D$13,$E21,0),""))</f>
        <v>1.2.</v>
      </c>
      <c r="I20" s="240" t="str">
        <f ca="1">IF($E21=0,OFFSET(ORÇAMENTO!R$15,$E20,0),IF($E21&lt;&gt;-1,OFFSET(QCI!$G$13,$E21,0),""))</f>
        <v>ADMINISTRAÇÃO LOCAL</v>
      </c>
      <c r="J20" s="240"/>
      <c r="K20" s="240"/>
      <c r="L20" s="241">
        <f ca="1">IF($E21=0,OFFSET(ORÇAMENTO!C$15,$E20,0),1)</f>
        <v>2</v>
      </c>
      <c r="M20" s="242">
        <f ca="1">IF($E21=-1,0,IF(M$13&lt;=$L20,IF(ISERROR(MATCH(M$13,OFFSET($L20,1,0,ROW($L$32)-ROW($L20)-1),0)),ROW($L$32)-ROW($L20)-1,MATCH(M$13,OFFSET($L20,1,0,ROW($L$32)-ROW($L20)-1),0)-1),0))</f>
        <v>11</v>
      </c>
      <c r="N20" s="242">
        <f ca="1">IF($E21=-1,0,IF(N$13&lt;=$L20,IF(ISERROR(MATCH(N$13,OFFSET($L20,1,0,ROW($L$32)-ROW($L20)-1),0)),ROW($L$32)-ROW($L20)-1,MATCH(N$13,OFFSET($L20,1,0,ROW($L$32)-ROW($L20)-1),0)-1),0))</f>
        <v>2</v>
      </c>
      <c r="O20" s="242">
        <f ca="1">IF($E21=-1,0,IF(O$13&lt;=$L20,IF(ISERROR(MATCH(O$13,OFFSET($L20,1,0,ROW($L$32)-ROW($L20)-1),0)),ROW($L$32)-ROW($L20)-1,MATCH(O$13,OFFSET($L20,1,0,ROW($L$32)-ROW($L20)-1),0)-1),0))</f>
        <v>0</v>
      </c>
      <c r="P20" s="242">
        <f ca="1">IF($E21=-1,0,IF(P$13&lt;=$L20,IF(ISERROR(MATCH(P$13,OFFSET($L20,1,0,ROW($L$32)-ROW($L20)-1),0)),ROW($L$32)-ROW($L20)-1,MATCH(P$13,OFFSET($L20,1,0,ROW($L$32)-ROW($L20)-1),0)-1),0))</f>
        <v>0</v>
      </c>
      <c r="Q20" s="242">
        <f ca="1">MIN(OFFSET(L20,0,1,,L20))</f>
        <v>2</v>
      </c>
      <c r="R20" s="243">
        <f ca="1">IF($E21=0,OFFSET(ORÇAMENTO!X$15,$E20,0),IF($E21&lt;&gt;-1,OFFSET(QCI!$O$13,$E21,0),""))</f>
        <v>11619.1855884</v>
      </c>
      <c r="S20" s="244" t="s">
        <v>272</v>
      </c>
      <c r="T20" s="245">
        <f t="shared" ref="T20:AQ20" ca="1" si="6">IF(AND($Q20=2,ACOMPANHAMENTO="BM"),T21,T22/$R20)</f>
        <v>0.33823529411764702</v>
      </c>
      <c r="U20" s="237">
        <f t="shared" ca="1" si="6"/>
        <v>0.33823529411764702</v>
      </c>
      <c r="V20" s="237">
        <f t="shared" ca="1" si="6"/>
        <v>0.32352941176470584</v>
      </c>
      <c r="W20" s="237">
        <f t="shared" ca="1" si="6"/>
        <v>0</v>
      </c>
      <c r="X20" s="237">
        <f t="shared" ca="1" si="6"/>
        <v>0</v>
      </c>
      <c r="Y20" s="237">
        <f t="shared" ca="1" si="6"/>
        <v>0</v>
      </c>
      <c r="Z20" s="237">
        <f t="shared" ca="1" si="6"/>
        <v>0</v>
      </c>
      <c r="AA20" s="237">
        <f t="shared" ca="1" si="6"/>
        <v>0</v>
      </c>
      <c r="AB20" s="237">
        <f t="shared" ca="1" si="6"/>
        <v>0</v>
      </c>
      <c r="AC20" s="237">
        <f t="shared" ca="1" si="6"/>
        <v>0</v>
      </c>
      <c r="AD20" s="237">
        <f t="shared" ca="1" si="6"/>
        <v>0</v>
      </c>
      <c r="AE20" s="246">
        <f t="shared" ca="1" si="6"/>
        <v>0</v>
      </c>
      <c r="AF20" s="245">
        <f t="shared" ca="1" si="6"/>
        <v>0</v>
      </c>
      <c r="AG20" s="237">
        <f t="shared" ca="1" si="6"/>
        <v>0</v>
      </c>
      <c r="AH20" s="237">
        <f t="shared" ca="1" si="6"/>
        <v>0</v>
      </c>
      <c r="AI20" s="237">
        <f t="shared" ca="1" si="6"/>
        <v>0</v>
      </c>
      <c r="AJ20" s="237">
        <f t="shared" ca="1" si="6"/>
        <v>0</v>
      </c>
      <c r="AK20" s="237">
        <f t="shared" ca="1" si="6"/>
        <v>0</v>
      </c>
      <c r="AL20" s="237">
        <f t="shared" ca="1" si="6"/>
        <v>0</v>
      </c>
      <c r="AM20" s="237">
        <f t="shared" ca="1" si="6"/>
        <v>0</v>
      </c>
      <c r="AN20" s="237">
        <f t="shared" ca="1" si="6"/>
        <v>0</v>
      </c>
      <c r="AO20" s="237">
        <f t="shared" ca="1" si="6"/>
        <v>0</v>
      </c>
      <c r="AP20" s="237">
        <f t="shared" ca="1" si="6"/>
        <v>0</v>
      </c>
      <c r="AQ20" s="246">
        <f t="shared" ca="1" si="6"/>
        <v>0</v>
      </c>
    </row>
    <row r="21" spans="1:44" ht="12.75" customHeight="1" x14ac:dyDescent="0.2">
      <c r="D21" s="654"/>
      <c r="E21" s="234">
        <f ca="1">IF(ISERROR(E20),IF(1+COUNTIF($L$13:OFFSET(L20,-1,0),1)&lt;=MAX(QCI!$D$13:$D$23),1+COUNTIF($L$13:OFFSET(L20,-1,0),1),-1),0)</f>
        <v>0</v>
      </c>
      <c r="F21" s="234" t="str">
        <f ca="1">IF(AND($E21&lt;&gt;-1,$R20&gt;0),"F","")</f>
        <v>F</v>
      </c>
      <c r="G21" s="247" t="str">
        <f ca="1">IF(OR(R20=0,R20=""),"vazia",IF(AND(OR(ACOMPANHAMENTO="PLE",$Q20&lt;&gt;2),$E21=0),"calculada","--&gt;"))</f>
        <v>calculada</v>
      </c>
      <c r="H21" s="248"/>
      <c r="I21" s="249" t="str">
        <f ca="1">IF(AND(G20&lt;&gt;0,ISNUMBER(G20)),"PREENCHA ESTA LINHA --&gt;","")</f>
        <v/>
      </c>
      <c r="J21" s="249"/>
      <c r="K21" s="249"/>
      <c r="L21" s="250"/>
      <c r="M21" s="250"/>
      <c r="N21" s="250"/>
      <c r="O21" s="250"/>
      <c r="P21" s="250"/>
      <c r="Q21" s="250"/>
      <c r="R21" s="251"/>
      <c r="S21" s="252"/>
      <c r="T21" s="655"/>
      <c r="U21" s="654"/>
      <c r="V21" s="654"/>
      <c r="W21" s="654"/>
      <c r="X21" s="654"/>
      <c r="Y21" s="654"/>
      <c r="Z21" s="654"/>
      <c r="AA21" s="654"/>
      <c r="AB21" s="654"/>
      <c r="AC21" s="654"/>
      <c r="AD21" s="654"/>
      <c r="AE21" s="656"/>
      <c r="AF21" s="655"/>
      <c r="AG21" s="654"/>
      <c r="AH21" s="654"/>
      <c r="AI21" s="654"/>
      <c r="AJ21" s="654"/>
      <c r="AK21" s="654"/>
      <c r="AL21" s="654"/>
      <c r="AM21" s="654"/>
      <c r="AN21" s="654"/>
      <c r="AO21" s="654"/>
      <c r="AP21" s="654"/>
      <c r="AQ21" s="656"/>
      <c r="AR21" s="614"/>
    </row>
    <row r="22" spans="1:44" ht="0.2" hidden="1" customHeight="1" x14ac:dyDescent="0.2">
      <c r="D22" s="253">
        <f ca="1">IF($Q20=2,IF(AND(ACOMPANHAMENTO="PLE",ISNUMBER($E20)),SUMIF((OFFSET(CÁLCULO!$DO$15:$FM$15,$E20,0,OFFSET(ORÇAMENTO!$D$15,CRONO!$E20,0))),"="&amp;CRONO!D$12,OFFSET(CÁLCULO!$BP$15:$DN$15,$E20,0,OFFSET(ORÇAMENTO!$D$15,CRONO!$E20,0)))+IF(AND($E22&lt;&gt;"",$E22&lt;&gt;0),SUMIF(CÁLCULO!$DO$15:$FM$33,"="&amp;CRONO!D$12,CÁLCULO!$BP$15:$DN$33)/(ORÇAMENTO!$X$15-CÁLCULO.TotalAdmLocal)*CRONO!$E22,0),D21*$R20),SUMIF(OFFSET($R22,1,0,$Q20-2),($L20+1)&amp;"$",OFFSET(D22,1,0,$Q20-2)))</f>
        <v>3930.0186548999995</v>
      </c>
      <c r="E22" s="234" t="str">
        <f ca="1">IF(OR($Q20&lt;&gt;2,AUTOEVENTO&lt;&gt;"manual",$E21&gt;0),"",SUMIF(OFFSET(CÁLCULO!$M$15,CRONO!$E20,0,OFFSET(ORÇAMENTO!$D$15,CRONO!$E20,0)),1,OFFSET(ORÇAMENTO!$X$15,CRONO!$E20,0,OFFSET(ORÇAMENTO!$D$15,CRONO!$E20,0))))</f>
        <v/>
      </c>
      <c r="G22" s="254"/>
      <c r="R22" s="255" t="str">
        <f ca="1">L20&amp;"$"</f>
        <v>2$</v>
      </c>
      <c r="S22" s="256"/>
      <c r="T22" s="257">
        <f ca="1">IF($Q20=2,IF(AND(ACOMPANHAMENTO="PLE",ISNUMBER($E20)),SUMIF((OFFSET(CÁLCULO!$DO$15:$FM$15,$E20,0,OFFSET(ORÇAMENTO!$D$15,CRONO!$E20,0))),"&lt;="&amp;CRONO!T$12,OFFSET(CÁLCULO!$BP$15:$DN$15,$E20,0,OFFSET(ORÇAMENTO!$D$15,CRONO!$E20,0)))+IF(AND($E22&lt;&gt;"",$E22&lt;&gt;0),SUMIF(CÁLCULO!$DO$15:$FM$33,"&lt;="&amp;CRONO!T$12,CÁLCULO!$BP$15:$DN$33)/(ORÇAMENTO!$X$15-CÁLCULO.TotalAdmLocal)*CRONO!$E22,0),T21*$R20),SUMIF(OFFSET($R22,1,0,$Q20-2),($L20+1)&amp;"$",OFFSET(T22,1,0,$Q20-2)))</f>
        <v>3930.0186548999995</v>
      </c>
      <c r="U22" s="253">
        <f ca="1">IF($Q20=2,IF(AND(ACOMPANHAMENTO="PLE",ISNUMBER($E20)),SUMIF((OFFSET(CÁLCULO!$DO$15:$FM$15,$E20,0,OFFSET(ORÇAMENTO!$D$15,CRONO!$E20,0))),"="&amp;CRONO!U$12,OFFSET(CÁLCULO!$BP$15:$DN$15,$E20,0,OFFSET(ORÇAMENTO!$D$15,CRONO!$E20,0)))+IF(AND($E22&lt;&gt;"",$E22&lt;&gt;0),SUMIF(CÁLCULO!$DO$15:$FM$33,"="&amp;CRONO!U$12,CÁLCULO!$BP$15:$DN$33)/(ORÇAMENTO!$X$15-CÁLCULO.TotalAdmLocal)*CRONO!$E22,0),U21*$R20),SUMIF(OFFSET($R22,1,0,$Q20-2),($L20+1)&amp;"$",OFFSET(U22,1,0,$Q20-2)))</f>
        <v>3930.0186548999995</v>
      </c>
      <c r="V22" s="253">
        <f ca="1">IF($Q20=2,IF(AND(ACOMPANHAMENTO="PLE",ISNUMBER($E20)),SUMIF((OFFSET(CÁLCULO!$DO$15:$FM$15,$E20,0,OFFSET(ORÇAMENTO!$D$15,CRONO!$E20,0))),"="&amp;CRONO!V$12,OFFSET(CÁLCULO!$BP$15:$DN$15,$E20,0,OFFSET(ORÇAMENTO!$D$15,CRONO!$E20,0)))+IF(AND($E22&lt;&gt;"",$E22&lt;&gt;0),SUMIF(CÁLCULO!$DO$15:$FM$33,"="&amp;CRONO!V$12,CÁLCULO!$BP$15:$DN$33)/(ORÇAMENTO!$X$15-CÁLCULO.TotalAdmLocal)*CRONO!$E22,0),V21*$R20),SUMIF(OFFSET($R22,1,0,$Q20-2),($L20+1)&amp;"$",OFFSET(V22,1,0,$Q20-2)))</f>
        <v>3759.1482785999992</v>
      </c>
      <c r="W22" s="253">
        <f ca="1">IF($Q20=2,IF(AND(ACOMPANHAMENTO="PLE",ISNUMBER($E20)),SUMIF((OFFSET(CÁLCULO!$DO$15:$FM$15,$E20,0,OFFSET(ORÇAMENTO!$D$15,CRONO!$E20,0))),"="&amp;CRONO!W$12,OFFSET(CÁLCULO!$BP$15:$DN$15,$E20,0,OFFSET(ORÇAMENTO!$D$15,CRONO!$E20,0)))+IF(AND($E22&lt;&gt;"",$E22&lt;&gt;0),SUMIF(CÁLCULO!$DO$15:$FM$33,"="&amp;CRONO!W$12,CÁLCULO!$BP$15:$DN$33)/(ORÇAMENTO!$X$15-CÁLCULO.TotalAdmLocal)*CRONO!$E22,0),W21*$R20),SUMIF(OFFSET($R22,1,0,$Q20-2),($L20+1)&amp;"$",OFFSET(W22,1,0,$Q20-2)))</f>
        <v>0</v>
      </c>
      <c r="X22" s="253">
        <f ca="1">IF($Q20=2,IF(AND(ACOMPANHAMENTO="PLE",ISNUMBER($E20)),SUMIF((OFFSET(CÁLCULO!$DO$15:$FM$15,$E20,0,OFFSET(ORÇAMENTO!$D$15,CRONO!$E20,0))),"="&amp;CRONO!X$12,OFFSET(CÁLCULO!$BP$15:$DN$15,$E20,0,OFFSET(ORÇAMENTO!$D$15,CRONO!$E20,0)))+IF(AND($E22&lt;&gt;"",$E22&lt;&gt;0),SUMIF(CÁLCULO!$DO$15:$FM$33,"="&amp;CRONO!X$12,CÁLCULO!$BP$15:$DN$33)/(ORÇAMENTO!$X$15-CÁLCULO.TotalAdmLocal)*CRONO!$E22,0),X21*$R20),SUMIF(OFFSET($R22,1,0,$Q20-2),($L20+1)&amp;"$",OFFSET(X22,1,0,$Q20-2)))</f>
        <v>0</v>
      </c>
      <c r="Y22" s="253">
        <f ca="1">IF($Q20=2,IF(AND(ACOMPANHAMENTO="PLE",ISNUMBER($E20)),SUMIF((OFFSET(CÁLCULO!$DO$15:$FM$15,$E20,0,OFFSET(ORÇAMENTO!$D$15,CRONO!$E20,0))),"="&amp;CRONO!Y$12,OFFSET(CÁLCULO!$BP$15:$DN$15,$E20,0,OFFSET(ORÇAMENTO!$D$15,CRONO!$E20,0)))+IF(AND($E22&lt;&gt;"",$E22&lt;&gt;0),SUMIF(CÁLCULO!$DO$15:$FM$33,"="&amp;CRONO!Y$12,CÁLCULO!$BP$15:$DN$33)/(ORÇAMENTO!$X$15-CÁLCULO.TotalAdmLocal)*CRONO!$E22,0),Y21*$R20),SUMIF(OFFSET($R22,1,0,$Q20-2),($L20+1)&amp;"$",OFFSET(Y22,1,0,$Q20-2)))</f>
        <v>0</v>
      </c>
      <c r="Z22" s="253">
        <f ca="1">IF($Q20=2,IF(AND(ACOMPANHAMENTO="PLE",ISNUMBER($E20)),SUMIF((OFFSET(CÁLCULO!$DO$15:$FM$15,$E20,0,OFFSET(ORÇAMENTO!$D$15,CRONO!$E20,0))),"="&amp;CRONO!Z$12,OFFSET(CÁLCULO!$BP$15:$DN$15,$E20,0,OFFSET(ORÇAMENTO!$D$15,CRONO!$E20,0)))+IF(AND($E22&lt;&gt;"",$E22&lt;&gt;0),SUMIF(CÁLCULO!$DO$15:$FM$33,"="&amp;CRONO!Z$12,CÁLCULO!$BP$15:$DN$33)/(ORÇAMENTO!$X$15-CÁLCULO.TotalAdmLocal)*CRONO!$E22,0),Z21*$R20),SUMIF(OFFSET($R22,1,0,$Q20-2),($L20+1)&amp;"$",OFFSET(Z22,1,0,$Q20-2)))</f>
        <v>0</v>
      </c>
      <c r="AA22" s="253">
        <f ca="1">IF($Q20=2,IF(AND(ACOMPANHAMENTO="PLE",ISNUMBER($E20)),SUMIF((OFFSET(CÁLCULO!$DO$15:$FM$15,$E20,0,OFFSET(ORÇAMENTO!$D$15,CRONO!$E20,0))),"="&amp;CRONO!AA$12,OFFSET(CÁLCULO!$BP$15:$DN$15,$E20,0,OFFSET(ORÇAMENTO!$D$15,CRONO!$E20,0)))+IF(AND($E22&lt;&gt;"",$E22&lt;&gt;0),SUMIF(CÁLCULO!$DO$15:$FM$33,"="&amp;CRONO!AA$12,CÁLCULO!$BP$15:$DN$33)/(ORÇAMENTO!$X$15-CÁLCULO.TotalAdmLocal)*CRONO!$E22,0),AA21*$R20),SUMIF(OFFSET($R22,1,0,$Q20-2),($L20+1)&amp;"$",OFFSET(AA22,1,0,$Q20-2)))</f>
        <v>0</v>
      </c>
      <c r="AB22" s="253">
        <f ca="1">IF($Q20=2,IF(AND(ACOMPANHAMENTO="PLE",ISNUMBER($E20)),SUMIF((OFFSET(CÁLCULO!$DO$15:$FM$15,$E20,0,OFFSET(ORÇAMENTO!$D$15,CRONO!$E20,0))),"="&amp;CRONO!AB$12,OFFSET(CÁLCULO!$BP$15:$DN$15,$E20,0,OFFSET(ORÇAMENTO!$D$15,CRONO!$E20,0)))+IF(AND($E22&lt;&gt;"",$E22&lt;&gt;0),SUMIF(CÁLCULO!$DO$15:$FM$33,"="&amp;CRONO!AB$12,CÁLCULO!$BP$15:$DN$33)/(ORÇAMENTO!$X$15-CÁLCULO.TotalAdmLocal)*CRONO!$E22,0),AB21*$R20),SUMIF(OFFSET($R22,1,0,$Q20-2),($L20+1)&amp;"$",OFFSET(AB22,1,0,$Q20-2)))</f>
        <v>0</v>
      </c>
      <c r="AC22" s="253">
        <f ca="1">IF($Q20=2,IF(AND(ACOMPANHAMENTO="PLE",ISNUMBER($E20)),SUMIF((OFFSET(CÁLCULO!$DO$15:$FM$15,$E20,0,OFFSET(ORÇAMENTO!$D$15,CRONO!$E20,0))),"="&amp;CRONO!AC$12,OFFSET(CÁLCULO!$BP$15:$DN$15,$E20,0,OFFSET(ORÇAMENTO!$D$15,CRONO!$E20,0)))+IF(AND($E22&lt;&gt;"",$E22&lt;&gt;0),SUMIF(CÁLCULO!$DO$15:$FM$33,"="&amp;CRONO!AC$12,CÁLCULO!$BP$15:$DN$33)/(ORÇAMENTO!$X$15-CÁLCULO.TotalAdmLocal)*CRONO!$E22,0),AC21*$R20),SUMIF(OFFSET($R22,1,0,$Q20-2),($L20+1)&amp;"$",OFFSET(AC22,1,0,$Q20-2)))</f>
        <v>0</v>
      </c>
      <c r="AD22" s="253">
        <f ca="1">IF($Q20=2,IF(AND(ACOMPANHAMENTO="PLE",ISNUMBER($E20)),SUMIF((OFFSET(CÁLCULO!$DO$15:$FM$15,$E20,0,OFFSET(ORÇAMENTO!$D$15,CRONO!$E20,0))),"="&amp;CRONO!AD$12,OFFSET(CÁLCULO!$BP$15:$DN$15,$E20,0,OFFSET(ORÇAMENTO!$D$15,CRONO!$E20,0)))+IF(AND($E22&lt;&gt;"",$E22&lt;&gt;0),SUMIF(CÁLCULO!$DO$15:$FM$33,"="&amp;CRONO!AD$12,CÁLCULO!$BP$15:$DN$33)/(ORÇAMENTO!$X$15-CÁLCULO.TotalAdmLocal)*CRONO!$E22,0),AD21*$R20),SUMIF(OFFSET($R22,1,0,$Q20-2),($L20+1)&amp;"$",OFFSET(AD22,1,0,$Q20-2)))</f>
        <v>0</v>
      </c>
      <c r="AE22" s="258">
        <f ca="1">IF($Q20=2,IF(AND(ACOMPANHAMENTO="PLE",ISNUMBER($E20)),SUMIF((OFFSET(CÁLCULO!$DO$15:$FM$15,$E20,0,OFFSET(ORÇAMENTO!$D$15,CRONO!$E20,0))),"="&amp;CRONO!AE$12,OFFSET(CÁLCULO!$BP$15:$DN$15,$E20,0,OFFSET(ORÇAMENTO!$D$15,CRONO!$E20,0)))+IF(AND($E22&lt;&gt;"",$E22&lt;&gt;0),SUMIF(CÁLCULO!$DO$15:$FM$33,"="&amp;CRONO!AE$12,CÁLCULO!$BP$15:$DN$33)/(ORÇAMENTO!$X$15-CÁLCULO.TotalAdmLocal)*CRONO!$E22,0),AE21*$R20),SUMIF(OFFSET($R22,1,0,$Q20-2),($L20+1)&amp;"$",OFFSET(AE22,1,0,$Q20-2)))</f>
        <v>0</v>
      </c>
      <c r="AF22" s="257">
        <f ca="1">IF($Q20=2,IF(AND(ACOMPANHAMENTO="PLE",ISNUMBER($E20)),SUMIF((OFFSET(CÁLCULO!$DO$15:$FM$15,$E20,0,OFFSET(ORÇAMENTO!$D$15,CRONO!$E20,0))),"="&amp;CRONO!AF$12,OFFSET(CÁLCULO!$BP$15:$DN$15,$E20,0,OFFSET(ORÇAMENTO!$D$15,CRONO!$E20,0)))+IF(AND($E22&lt;&gt;"",$E22&lt;&gt;0),SUMIF(CÁLCULO!$DO$15:$FM$33,"="&amp;CRONO!AF$12,CÁLCULO!$BP$15:$DN$33)/(ORÇAMENTO!$X$15-CÁLCULO.TotalAdmLocal)*CRONO!$E22,0),AF21*$R20),SUMIF(OFFSET($R22,1,0,$Q20-2),($L20+1)&amp;"$",OFFSET(AF22,1,0,$Q20-2)))</f>
        <v>0</v>
      </c>
      <c r="AG22" s="253">
        <f ca="1">IF($Q20=2,IF(AND(ACOMPANHAMENTO="PLE",ISNUMBER($E20)),SUMIF((OFFSET(CÁLCULO!$DO$15:$FM$15,$E20,0,OFFSET(ORÇAMENTO!$D$15,CRONO!$E20,0))),"="&amp;CRONO!AG$12,OFFSET(CÁLCULO!$BP$15:$DN$15,$E20,0,OFFSET(ORÇAMENTO!$D$15,CRONO!$E20,0)))+IF(AND($E22&lt;&gt;"",$E22&lt;&gt;0),SUMIF(CÁLCULO!$DO$15:$FM$33,"="&amp;CRONO!AG$12,CÁLCULO!$BP$15:$DN$33)/(ORÇAMENTO!$X$15-CÁLCULO.TotalAdmLocal)*CRONO!$E22,0),AG21*$R20),SUMIF(OFFSET($R22,1,0,$Q20-2),($L20+1)&amp;"$",OFFSET(AG22,1,0,$Q20-2)))</f>
        <v>0</v>
      </c>
      <c r="AH22" s="253">
        <f ca="1">IF($Q20=2,IF(AND(ACOMPANHAMENTO="PLE",ISNUMBER($E20)),SUMIF((OFFSET(CÁLCULO!$DO$15:$FM$15,$E20,0,OFFSET(ORÇAMENTO!$D$15,CRONO!$E20,0))),"="&amp;CRONO!AH$12,OFFSET(CÁLCULO!$BP$15:$DN$15,$E20,0,OFFSET(ORÇAMENTO!$D$15,CRONO!$E20,0)))+IF(AND($E22&lt;&gt;"",$E22&lt;&gt;0),SUMIF(CÁLCULO!$DO$15:$FM$33,"="&amp;CRONO!AH$12,CÁLCULO!$BP$15:$DN$33)/(ORÇAMENTO!$X$15-CÁLCULO.TotalAdmLocal)*CRONO!$E22,0),AH21*$R20),SUMIF(OFFSET($R22,1,0,$Q20-2),($L20+1)&amp;"$",OFFSET(AH22,1,0,$Q20-2)))</f>
        <v>0</v>
      </c>
      <c r="AI22" s="253">
        <f ca="1">IF($Q20=2,IF(AND(ACOMPANHAMENTO="PLE",ISNUMBER($E20)),SUMIF((OFFSET(CÁLCULO!$DO$15:$FM$15,$E20,0,OFFSET(ORÇAMENTO!$D$15,CRONO!$E20,0))),"="&amp;CRONO!AI$12,OFFSET(CÁLCULO!$BP$15:$DN$15,$E20,0,OFFSET(ORÇAMENTO!$D$15,CRONO!$E20,0)))+IF(AND($E22&lt;&gt;"",$E22&lt;&gt;0),SUMIF(CÁLCULO!$DO$15:$FM$33,"="&amp;CRONO!AI$12,CÁLCULO!$BP$15:$DN$33)/(ORÇAMENTO!$X$15-CÁLCULO.TotalAdmLocal)*CRONO!$E22,0),AI21*$R20),SUMIF(OFFSET($R22,1,0,$Q20-2),($L20+1)&amp;"$",OFFSET(AI22,1,0,$Q20-2)))</f>
        <v>0</v>
      </c>
      <c r="AJ22" s="253">
        <f ca="1">IF($Q20=2,IF(AND(ACOMPANHAMENTO="PLE",ISNUMBER($E20)),SUMIF((OFFSET(CÁLCULO!$DO$15:$FM$15,$E20,0,OFFSET(ORÇAMENTO!$D$15,CRONO!$E20,0))),"="&amp;CRONO!AJ$12,OFFSET(CÁLCULO!$BP$15:$DN$15,$E20,0,OFFSET(ORÇAMENTO!$D$15,CRONO!$E20,0)))+IF(AND($E22&lt;&gt;"",$E22&lt;&gt;0),SUMIF(CÁLCULO!$DO$15:$FM$33,"="&amp;CRONO!AJ$12,CÁLCULO!$BP$15:$DN$33)/(ORÇAMENTO!$X$15-CÁLCULO.TotalAdmLocal)*CRONO!$E22,0),AJ21*$R20),SUMIF(OFFSET($R22,1,0,$Q20-2),($L20+1)&amp;"$",OFFSET(AJ22,1,0,$Q20-2)))</f>
        <v>0</v>
      </c>
      <c r="AK22" s="253">
        <f ca="1">IF($Q20=2,IF(AND(ACOMPANHAMENTO="PLE",ISNUMBER($E20)),SUMIF((OFFSET(CÁLCULO!$DO$15:$FM$15,$E20,0,OFFSET(ORÇAMENTO!$D$15,CRONO!$E20,0))),"="&amp;CRONO!AK$12,OFFSET(CÁLCULO!$BP$15:$DN$15,$E20,0,OFFSET(ORÇAMENTO!$D$15,CRONO!$E20,0)))+IF(AND($E22&lt;&gt;"",$E22&lt;&gt;0),SUMIF(CÁLCULO!$DO$15:$FM$33,"="&amp;CRONO!AK$12,CÁLCULO!$BP$15:$DN$33)/(ORÇAMENTO!$X$15-CÁLCULO.TotalAdmLocal)*CRONO!$E22,0),AK21*$R20),SUMIF(OFFSET($R22,1,0,$Q20-2),($L20+1)&amp;"$",OFFSET(AK22,1,0,$Q20-2)))</f>
        <v>0</v>
      </c>
      <c r="AL22" s="253">
        <f ca="1">IF($Q20=2,IF(AND(ACOMPANHAMENTO="PLE",ISNUMBER($E20)),SUMIF((OFFSET(CÁLCULO!$DO$15:$FM$15,$E20,0,OFFSET(ORÇAMENTO!$D$15,CRONO!$E20,0))),"="&amp;CRONO!AL$12,OFFSET(CÁLCULO!$BP$15:$DN$15,$E20,0,OFFSET(ORÇAMENTO!$D$15,CRONO!$E20,0)))+IF(AND($E22&lt;&gt;"",$E22&lt;&gt;0),SUMIF(CÁLCULO!$DO$15:$FM$33,"="&amp;CRONO!AL$12,CÁLCULO!$BP$15:$DN$33)/(ORÇAMENTO!$X$15-CÁLCULO.TotalAdmLocal)*CRONO!$E22,0),AL21*$R20),SUMIF(OFFSET($R22,1,0,$Q20-2),($L20+1)&amp;"$",OFFSET(AL22,1,0,$Q20-2)))</f>
        <v>0</v>
      </c>
      <c r="AM22" s="253">
        <f ca="1">IF($Q20=2,IF(AND(ACOMPANHAMENTO="PLE",ISNUMBER($E20)),SUMIF((OFFSET(CÁLCULO!$DO$15:$FM$15,$E20,0,OFFSET(ORÇAMENTO!$D$15,CRONO!$E20,0))),"="&amp;CRONO!AM$12,OFFSET(CÁLCULO!$BP$15:$DN$15,$E20,0,OFFSET(ORÇAMENTO!$D$15,CRONO!$E20,0)))+IF(AND($E22&lt;&gt;"",$E22&lt;&gt;0),SUMIF(CÁLCULO!$DO$15:$FM$33,"="&amp;CRONO!AM$12,CÁLCULO!$BP$15:$DN$33)/(ORÇAMENTO!$X$15-CÁLCULO.TotalAdmLocal)*CRONO!$E22,0),AM21*$R20),SUMIF(OFFSET($R22,1,0,$Q20-2),($L20+1)&amp;"$",OFFSET(AM22,1,0,$Q20-2)))</f>
        <v>0</v>
      </c>
      <c r="AN22" s="253">
        <f ca="1">IF($Q20=2,IF(AND(ACOMPANHAMENTO="PLE",ISNUMBER($E20)),SUMIF((OFFSET(CÁLCULO!$DO$15:$FM$15,$E20,0,OFFSET(ORÇAMENTO!$D$15,CRONO!$E20,0))),"="&amp;CRONO!AN$12,OFFSET(CÁLCULO!$BP$15:$DN$15,$E20,0,OFFSET(ORÇAMENTO!$D$15,CRONO!$E20,0)))+IF(AND($E22&lt;&gt;"",$E22&lt;&gt;0),SUMIF(CÁLCULO!$DO$15:$FM$33,"="&amp;CRONO!AN$12,CÁLCULO!$BP$15:$DN$33)/(ORÇAMENTO!$X$15-CÁLCULO.TotalAdmLocal)*CRONO!$E22,0),AN21*$R20),SUMIF(OFFSET($R22,1,0,$Q20-2),($L20+1)&amp;"$",OFFSET(AN22,1,0,$Q20-2)))</f>
        <v>0</v>
      </c>
      <c r="AO22" s="253">
        <f ca="1">IF($Q20=2,IF(AND(ACOMPANHAMENTO="PLE",ISNUMBER($E20)),SUMIF((OFFSET(CÁLCULO!$DO$15:$FM$15,$E20,0,OFFSET(ORÇAMENTO!$D$15,CRONO!$E20,0))),"="&amp;CRONO!AO$12,OFFSET(CÁLCULO!$BP$15:$DN$15,$E20,0,OFFSET(ORÇAMENTO!$D$15,CRONO!$E20,0)))+IF(AND($E22&lt;&gt;"",$E22&lt;&gt;0),SUMIF(CÁLCULO!$DO$15:$FM$33,"="&amp;CRONO!AO$12,CÁLCULO!$BP$15:$DN$33)/(ORÇAMENTO!$X$15-CÁLCULO.TotalAdmLocal)*CRONO!$E22,0),AO21*$R20),SUMIF(OFFSET($R22,1,0,$Q20-2),($L20+1)&amp;"$",OFFSET(AO22,1,0,$Q20-2)))</f>
        <v>0</v>
      </c>
      <c r="AP22" s="253">
        <f ca="1">IF($Q20=2,IF(AND(ACOMPANHAMENTO="PLE",ISNUMBER($E20)),SUMIF((OFFSET(CÁLCULO!$DO$15:$FM$15,$E20,0,OFFSET(ORÇAMENTO!$D$15,CRONO!$E20,0))),"="&amp;CRONO!AP$12,OFFSET(CÁLCULO!$BP$15:$DN$15,$E20,0,OFFSET(ORÇAMENTO!$D$15,CRONO!$E20,0)))+IF(AND($E22&lt;&gt;"",$E22&lt;&gt;0),SUMIF(CÁLCULO!$DO$15:$FM$33,"="&amp;CRONO!AP$12,CÁLCULO!$BP$15:$DN$33)/(ORÇAMENTO!$X$15-CÁLCULO.TotalAdmLocal)*CRONO!$E22,0),AP21*$R20),SUMIF(OFFSET($R22,1,0,$Q20-2),($L20+1)&amp;"$",OFFSET(AP22,1,0,$Q20-2)))</f>
        <v>0</v>
      </c>
      <c r="AQ22" s="258">
        <f ca="1">IF($Q20=2,IF(AND(ACOMPANHAMENTO="PLE",ISNUMBER($E20)),SUMIF((OFFSET(CÁLCULO!$DO$15:$FM$15,$E20,0,OFFSET(ORÇAMENTO!$D$15,CRONO!$E20,0))),"="&amp;CRONO!AQ$12,OFFSET(CÁLCULO!$BP$15:$DN$15,$E20,0,OFFSET(ORÇAMENTO!$D$15,CRONO!$E20,0)))+IF(AND($E22&lt;&gt;"",$E22&lt;&gt;0),SUMIF(CÁLCULO!$DO$15:$FM$33,"="&amp;CRONO!AQ$12,CÁLCULO!$BP$15:$DN$33)/(ORÇAMENTO!$X$15-CÁLCULO.TotalAdmLocal)*CRONO!$E22,0),AQ21*$R20),SUMIF(OFFSET($R22,1,0,$Q20-2),($L20+1)&amp;"$",OFFSET(AQ22,1,0,$Q20-2)))</f>
        <v>0</v>
      </c>
    </row>
    <row r="23" spans="1:44" x14ac:dyDescent="0.2">
      <c r="A23" s="234">
        <f ca="1">OFFSET(A23,-3,0)+1</f>
        <v>4</v>
      </c>
      <c r="B23" s="234">
        <f ca="1">IF($Q23&lt;&gt;2,0,IF($R23=0,1,IF(E24&gt;0,OFFSET(QCI!$M$13,SUBSTITUTE(E24,".",""),0),OFFSET(ORÇAMENTO!$AA$15,CRONO!$E23,0))/$R23))</f>
        <v>3.9997156461424786E-2</v>
      </c>
      <c r="C23" s="234">
        <f ca="1">IF($Q23&lt;&gt;2,0,IF($R23=0,1,IF(E24&gt;0,OFFSET(QCI!$N$13,SUBSTITUTE(E24,".",""),0),OFFSET(ORÇAMENTO!$AB$15,CRONO!$E23,0))/$R23))</f>
        <v>0</v>
      </c>
      <c r="D23" s="237">
        <f ca="1">IF(AND($Q23=2,ACOMPANHAMENTO="BM"),D24,D25/$R23)</f>
        <v>0.34861250217921663</v>
      </c>
      <c r="E23" s="234">
        <f ca="1">IF(A23&lt;=ORÇAMENTO.MáximoListaCrono,MATCH(A23,ORÇAMENTO.ListaCrono,0),NA())</f>
        <v>7</v>
      </c>
      <c r="F23" s="234" t="str">
        <f ca="1">IF(AND($E24&lt;&gt;-1,$R23&gt;0),"F","")</f>
        <v>F</v>
      </c>
      <c r="G23" s="238" t="str">
        <f ca="1">IF(OR(R23=0,R23=""),"Linha",IF(AND(OR(ACOMPANHAMENTO="PLE",$Q23&lt;&gt;2),$E24=0),"Linha",1-SUM(T23:AR23)))</f>
        <v>Linha</v>
      </c>
      <c r="H23" s="239" t="str">
        <f ca="1">IF($E24=0,OFFSET(ORÇAMENTO!O$15,$E23,0),IF($E24&lt;&gt;-1,OFFSET(QCI!$D$13,$E24,0),""))</f>
        <v>1.3.</v>
      </c>
      <c r="I23" s="240" t="str">
        <f ca="1">IF($E24=0,OFFSET(ORÇAMENTO!R$15,$E23,0),IF($E24&lt;&gt;-1,OFFSET(QCI!$G$13,$E24,0),""))</f>
        <v>PAVIMENTAÇÃO DE VIAS</v>
      </c>
      <c r="J23" s="240"/>
      <c r="K23" s="240"/>
      <c r="L23" s="241">
        <f ca="1">IF($E24=0,OFFSET(ORÇAMENTO!C$15,$E23,0),1)</f>
        <v>2</v>
      </c>
      <c r="M23" s="242">
        <f ca="1">IF($E24=-1,0,IF(M$13&lt;=$L23,IF(ISERROR(MATCH(M$13,OFFSET($L23,1,0,ROW($L$32)-ROW($L23)-1),0)),ROW($L$32)-ROW($L23)-1,MATCH(M$13,OFFSET($L23,1,0,ROW($L$32)-ROW($L23)-1),0)-1),0))</f>
        <v>8</v>
      </c>
      <c r="N23" s="242">
        <f ca="1">IF($E24=-1,0,IF(N$13&lt;=$L23,IF(ISERROR(MATCH(N$13,OFFSET($L23,1,0,ROW($L$32)-ROW($L23)-1),0)),ROW($L$32)-ROW($L23)-1,MATCH(N$13,OFFSET($L23,1,0,ROW($L$32)-ROW($L23)-1),0)-1),0))</f>
        <v>2</v>
      </c>
      <c r="O23" s="242">
        <f ca="1">IF($E24=-1,0,IF(O$13&lt;=$L23,IF(ISERROR(MATCH(O$13,OFFSET($L23,1,0,ROW($L$32)-ROW($L23)-1),0)),ROW($L$32)-ROW($L23)-1,MATCH(O$13,OFFSET($L23,1,0,ROW($L$32)-ROW($L23)-1),0)-1),0))</f>
        <v>0</v>
      </c>
      <c r="P23" s="242">
        <f ca="1">IF($E24=-1,0,IF(P$13&lt;=$L23,IF(ISERROR(MATCH(P$13,OFFSET($L23,1,0,ROW($L$32)-ROW($L23)-1),0)),ROW($L$32)-ROW($L23)-1,MATCH(P$13,OFFSET($L23,1,0,ROW($L$32)-ROW($L23)-1),0)-1),0))</f>
        <v>0</v>
      </c>
      <c r="Q23" s="242">
        <f ca="1">MIN(OFFSET(L23,0,1,,L23))</f>
        <v>2</v>
      </c>
      <c r="R23" s="243">
        <f ca="1">IF($E24=0,OFFSET(ORÇAMENTO!X$15,$E23,0),IF($E24&lt;&gt;-1,OFFSET(QCI!$O$13,$E24,0),""))</f>
        <v>336383.73</v>
      </c>
      <c r="S23" s="244" t="s">
        <v>272</v>
      </c>
      <c r="T23" s="245">
        <f t="shared" ref="T23:AQ23" ca="1" si="7">IF(AND($Q23=2,ACOMPANHAMENTO="BM"),T24,T25/$R23)</f>
        <v>0.34861250217921663</v>
      </c>
      <c r="U23" s="237">
        <f t="shared" ca="1" si="7"/>
        <v>0.49848612854303692</v>
      </c>
      <c r="V23" s="237">
        <f t="shared" ca="1" si="7"/>
        <v>0.15290136927774645</v>
      </c>
      <c r="W23" s="237">
        <f t="shared" ca="1" si="7"/>
        <v>0</v>
      </c>
      <c r="X23" s="237">
        <f t="shared" ca="1" si="7"/>
        <v>0</v>
      </c>
      <c r="Y23" s="237">
        <f t="shared" ca="1" si="7"/>
        <v>0</v>
      </c>
      <c r="Z23" s="237">
        <f t="shared" ca="1" si="7"/>
        <v>0</v>
      </c>
      <c r="AA23" s="237">
        <f t="shared" ca="1" si="7"/>
        <v>0</v>
      </c>
      <c r="AB23" s="237">
        <f t="shared" ca="1" si="7"/>
        <v>0</v>
      </c>
      <c r="AC23" s="237">
        <f t="shared" ca="1" si="7"/>
        <v>0</v>
      </c>
      <c r="AD23" s="237">
        <f t="shared" ca="1" si="7"/>
        <v>0</v>
      </c>
      <c r="AE23" s="246">
        <f t="shared" ca="1" si="7"/>
        <v>0</v>
      </c>
      <c r="AF23" s="245">
        <f t="shared" ca="1" si="7"/>
        <v>0</v>
      </c>
      <c r="AG23" s="237">
        <f t="shared" ca="1" si="7"/>
        <v>0</v>
      </c>
      <c r="AH23" s="237">
        <f t="shared" ca="1" si="7"/>
        <v>0</v>
      </c>
      <c r="AI23" s="237">
        <f t="shared" ca="1" si="7"/>
        <v>0</v>
      </c>
      <c r="AJ23" s="237">
        <f t="shared" ca="1" si="7"/>
        <v>0</v>
      </c>
      <c r="AK23" s="237">
        <f t="shared" ca="1" si="7"/>
        <v>0</v>
      </c>
      <c r="AL23" s="237">
        <f t="shared" ca="1" si="7"/>
        <v>0</v>
      </c>
      <c r="AM23" s="237">
        <f t="shared" ca="1" si="7"/>
        <v>0</v>
      </c>
      <c r="AN23" s="237">
        <f t="shared" ca="1" si="7"/>
        <v>0</v>
      </c>
      <c r="AO23" s="237">
        <f t="shared" ca="1" si="7"/>
        <v>0</v>
      </c>
      <c r="AP23" s="237">
        <f t="shared" ca="1" si="7"/>
        <v>0</v>
      </c>
      <c r="AQ23" s="246">
        <f t="shared" ca="1" si="7"/>
        <v>0</v>
      </c>
    </row>
    <row r="24" spans="1:44" ht="12.75" customHeight="1" x14ac:dyDescent="0.2">
      <c r="D24" s="654"/>
      <c r="E24" s="234">
        <f ca="1">IF(ISERROR(E23),IF(1+COUNTIF($L$13:OFFSET(L23,-1,0),1)&lt;=MAX(QCI!$D$13:$D$23),1+COUNTIF($L$13:OFFSET(L23,-1,0),1),-1),0)</f>
        <v>0</v>
      </c>
      <c r="F24" s="234" t="str">
        <f ca="1">IF(AND($E24&lt;&gt;-1,$R23&gt;0),"F","")</f>
        <v>F</v>
      </c>
      <c r="G24" s="247" t="str">
        <f ca="1">IF(OR(R23=0,R23=""),"vazia",IF(AND(OR(ACOMPANHAMENTO="PLE",$Q23&lt;&gt;2),$E24=0),"calculada","--&gt;"))</f>
        <v>calculada</v>
      </c>
      <c r="H24" s="248"/>
      <c r="I24" s="249" t="str">
        <f ca="1">IF(AND(G23&lt;&gt;0,ISNUMBER(G23)),"PREENCHA ESTA LINHA --&gt;","")</f>
        <v/>
      </c>
      <c r="J24" s="249"/>
      <c r="K24" s="249"/>
      <c r="L24" s="250"/>
      <c r="M24" s="250"/>
      <c r="N24" s="250"/>
      <c r="O24" s="250"/>
      <c r="P24" s="250"/>
      <c r="Q24" s="250"/>
      <c r="R24" s="251"/>
      <c r="S24" s="252"/>
      <c r="T24" s="655"/>
      <c r="U24" s="654"/>
      <c r="V24" s="654"/>
      <c r="W24" s="654"/>
      <c r="X24" s="654"/>
      <c r="Y24" s="654"/>
      <c r="Z24" s="654"/>
      <c r="AA24" s="654"/>
      <c r="AB24" s="654"/>
      <c r="AC24" s="654"/>
      <c r="AD24" s="654"/>
      <c r="AE24" s="656"/>
      <c r="AF24" s="655"/>
      <c r="AG24" s="654"/>
      <c r="AH24" s="654"/>
      <c r="AI24" s="654"/>
      <c r="AJ24" s="654"/>
      <c r="AK24" s="654"/>
      <c r="AL24" s="654"/>
      <c r="AM24" s="654"/>
      <c r="AN24" s="654"/>
      <c r="AO24" s="654"/>
      <c r="AP24" s="654"/>
      <c r="AQ24" s="656"/>
      <c r="AR24" s="614"/>
    </row>
    <row r="25" spans="1:44" ht="0.2" hidden="1" customHeight="1" x14ac:dyDescent="0.2">
      <c r="D25" s="253">
        <f ca="1">IF($Q23=2,IF(AND(ACOMPANHAMENTO="PLE",ISNUMBER($E23)),SUMIF((OFFSET(CÁLCULO!$DO$15:$FM$15,$E23,0,OFFSET(ORÇAMENTO!$D$15,CRONO!$E23,0))),"="&amp;CRONO!D$12,OFFSET(CÁLCULO!$BP$15:$DN$15,$E23,0,OFFSET(ORÇAMENTO!$D$15,CRONO!$E23,0)))+IF(AND($E25&lt;&gt;"",$E25&lt;&gt;0),SUMIF(CÁLCULO!$DO$15:$FM$33,"="&amp;CRONO!D$12,CÁLCULO!$BP$15:$DN$33)/(ORÇAMENTO!$X$15-CÁLCULO.TotalAdmLocal)*CRONO!$E25,0),D24*$R23),SUMIF(OFFSET($R25,1,0,$Q23-2),($L23+1)&amp;"$",OFFSET(D25,1,0,$Q23-2)))</f>
        <v>117267.57380767801</v>
      </c>
      <c r="E25" s="234" t="str">
        <f ca="1">IF(OR($Q23&lt;&gt;2,AUTOEVENTO&lt;&gt;"manual",$E24&gt;0),"",SUMIF(OFFSET(CÁLCULO!$M$15,CRONO!$E23,0,OFFSET(ORÇAMENTO!$D$15,CRONO!$E23,0)),1,OFFSET(ORÇAMENTO!$X$15,CRONO!$E23,0,OFFSET(ORÇAMENTO!$D$15,CRONO!$E23,0))))</f>
        <v/>
      </c>
      <c r="G25" s="254"/>
      <c r="R25" s="255" t="str">
        <f ca="1">L23&amp;"$"</f>
        <v>2$</v>
      </c>
      <c r="S25" s="256"/>
      <c r="T25" s="257">
        <f ca="1">IF($Q23=2,IF(AND(ACOMPANHAMENTO="PLE",ISNUMBER($E23)),SUMIF((OFFSET(CÁLCULO!$DO$15:$FM$15,$E23,0,OFFSET(ORÇAMENTO!$D$15,CRONO!$E23,0))),"&lt;="&amp;CRONO!T$12,OFFSET(CÁLCULO!$BP$15:$DN$15,$E23,0,OFFSET(ORÇAMENTO!$D$15,CRONO!$E23,0)))+IF(AND($E25&lt;&gt;"",$E25&lt;&gt;0),SUMIF(CÁLCULO!$DO$15:$FM$33,"&lt;="&amp;CRONO!T$12,CÁLCULO!$BP$15:$DN$33)/(ORÇAMENTO!$X$15-CÁLCULO.TotalAdmLocal)*CRONO!$E25,0),T24*$R23),SUMIF(OFFSET($R25,1,0,$Q23-2),($L23+1)&amp;"$",OFFSET(T25,1,0,$Q23-2)))</f>
        <v>117267.57380767801</v>
      </c>
      <c r="U25" s="253">
        <f ca="1">IF($Q23=2,IF(AND(ACOMPANHAMENTO="PLE",ISNUMBER($E23)),SUMIF((OFFSET(CÁLCULO!$DO$15:$FM$15,$E23,0,OFFSET(ORÇAMENTO!$D$15,CRONO!$E23,0))),"="&amp;CRONO!U$12,OFFSET(CÁLCULO!$BP$15:$DN$15,$E23,0,OFFSET(ORÇAMENTO!$D$15,CRONO!$E23,0)))+IF(AND($E25&lt;&gt;"",$E25&lt;&gt;0),SUMIF(CÁLCULO!$DO$15:$FM$33,"="&amp;CRONO!U$12,CÁLCULO!$BP$15:$DN$33)/(ORÇAMENTO!$X$15-CÁLCULO.TotalAdmLocal)*CRONO!$E25,0),U24*$R23),SUMIF(OFFSET($R25,1,0,$Q23-2),($L23+1)&amp;"$",OFFSET(U25,1,0,$Q23-2)))</f>
        <v>167682.62327256621</v>
      </c>
      <c r="V25" s="253">
        <f ca="1">IF($Q23=2,IF(AND(ACOMPANHAMENTO="PLE",ISNUMBER($E23)),SUMIF((OFFSET(CÁLCULO!$DO$15:$FM$15,$E23,0,OFFSET(ORÇAMENTO!$D$15,CRONO!$E23,0))),"="&amp;CRONO!V$12,OFFSET(CÁLCULO!$BP$15:$DN$15,$E23,0,OFFSET(ORÇAMENTO!$D$15,CRONO!$E23,0)))+IF(AND($E25&lt;&gt;"",$E25&lt;&gt;0),SUMIF(CÁLCULO!$DO$15:$FM$33,"="&amp;CRONO!V$12,CÁLCULO!$BP$15:$DN$33)/(ORÇAMENTO!$X$15-CÁLCULO.TotalAdmLocal)*CRONO!$E25,0),V24*$R23),SUMIF(OFFSET($R25,1,0,$Q23-2),($L23+1)&amp;"$",OFFSET(V25,1,0,$Q23-2)))</f>
        <v>51433.532919755751</v>
      </c>
      <c r="W25" s="253">
        <f ca="1">IF($Q23=2,IF(AND(ACOMPANHAMENTO="PLE",ISNUMBER($E23)),SUMIF((OFFSET(CÁLCULO!$DO$15:$FM$15,$E23,0,OFFSET(ORÇAMENTO!$D$15,CRONO!$E23,0))),"="&amp;CRONO!W$12,OFFSET(CÁLCULO!$BP$15:$DN$15,$E23,0,OFFSET(ORÇAMENTO!$D$15,CRONO!$E23,0)))+IF(AND($E25&lt;&gt;"",$E25&lt;&gt;0),SUMIF(CÁLCULO!$DO$15:$FM$33,"="&amp;CRONO!W$12,CÁLCULO!$BP$15:$DN$33)/(ORÇAMENTO!$X$15-CÁLCULO.TotalAdmLocal)*CRONO!$E25,0),W24*$R23),SUMIF(OFFSET($R25,1,0,$Q23-2),($L23+1)&amp;"$",OFFSET(W25,1,0,$Q23-2)))</f>
        <v>0</v>
      </c>
      <c r="X25" s="253">
        <f ca="1">IF($Q23=2,IF(AND(ACOMPANHAMENTO="PLE",ISNUMBER($E23)),SUMIF((OFFSET(CÁLCULO!$DO$15:$FM$15,$E23,0,OFFSET(ORÇAMENTO!$D$15,CRONO!$E23,0))),"="&amp;CRONO!X$12,OFFSET(CÁLCULO!$BP$15:$DN$15,$E23,0,OFFSET(ORÇAMENTO!$D$15,CRONO!$E23,0)))+IF(AND($E25&lt;&gt;"",$E25&lt;&gt;0),SUMIF(CÁLCULO!$DO$15:$FM$33,"="&amp;CRONO!X$12,CÁLCULO!$BP$15:$DN$33)/(ORÇAMENTO!$X$15-CÁLCULO.TotalAdmLocal)*CRONO!$E25,0),X24*$R23),SUMIF(OFFSET($R25,1,0,$Q23-2),($L23+1)&amp;"$",OFFSET(X25,1,0,$Q23-2)))</f>
        <v>0</v>
      </c>
      <c r="Y25" s="253">
        <f ca="1">IF($Q23=2,IF(AND(ACOMPANHAMENTO="PLE",ISNUMBER($E23)),SUMIF((OFFSET(CÁLCULO!$DO$15:$FM$15,$E23,0,OFFSET(ORÇAMENTO!$D$15,CRONO!$E23,0))),"="&amp;CRONO!Y$12,OFFSET(CÁLCULO!$BP$15:$DN$15,$E23,0,OFFSET(ORÇAMENTO!$D$15,CRONO!$E23,0)))+IF(AND($E25&lt;&gt;"",$E25&lt;&gt;0),SUMIF(CÁLCULO!$DO$15:$FM$33,"="&amp;CRONO!Y$12,CÁLCULO!$BP$15:$DN$33)/(ORÇAMENTO!$X$15-CÁLCULO.TotalAdmLocal)*CRONO!$E25,0),Y24*$R23),SUMIF(OFFSET($R25,1,0,$Q23-2),($L23+1)&amp;"$",OFFSET(Y25,1,0,$Q23-2)))</f>
        <v>0</v>
      </c>
      <c r="Z25" s="253">
        <f ca="1">IF($Q23=2,IF(AND(ACOMPANHAMENTO="PLE",ISNUMBER($E23)),SUMIF((OFFSET(CÁLCULO!$DO$15:$FM$15,$E23,0,OFFSET(ORÇAMENTO!$D$15,CRONO!$E23,0))),"="&amp;CRONO!Z$12,OFFSET(CÁLCULO!$BP$15:$DN$15,$E23,0,OFFSET(ORÇAMENTO!$D$15,CRONO!$E23,0)))+IF(AND($E25&lt;&gt;"",$E25&lt;&gt;0),SUMIF(CÁLCULO!$DO$15:$FM$33,"="&amp;CRONO!Z$12,CÁLCULO!$BP$15:$DN$33)/(ORÇAMENTO!$X$15-CÁLCULO.TotalAdmLocal)*CRONO!$E25,0),Z24*$R23),SUMIF(OFFSET($R25,1,0,$Q23-2),($L23+1)&amp;"$",OFFSET(Z25,1,0,$Q23-2)))</f>
        <v>0</v>
      </c>
      <c r="AA25" s="253">
        <f ca="1">IF($Q23=2,IF(AND(ACOMPANHAMENTO="PLE",ISNUMBER($E23)),SUMIF((OFFSET(CÁLCULO!$DO$15:$FM$15,$E23,0,OFFSET(ORÇAMENTO!$D$15,CRONO!$E23,0))),"="&amp;CRONO!AA$12,OFFSET(CÁLCULO!$BP$15:$DN$15,$E23,0,OFFSET(ORÇAMENTO!$D$15,CRONO!$E23,0)))+IF(AND($E25&lt;&gt;"",$E25&lt;&gt;0),SUMIF(CÁLCULO!$DO$15:$FM$33,"="&amp;CRONO!AA$12,CÁLCULO!$BP$15:$DN$33)/(ORÇAMENTO!$X$15-CÁLCULO.TotalAdmLocal)*CRONO!$E25,0),AA24*$R23),SUMIF(OFFSET($R25,1,0,$Q23-2),($L23+1)&amp;"$",OFFSET(AA25,1,0,$Q23-2)))</f>
        <v>0</v>
      </c>
      <c r="AB25" s="253">
        <f ca="1">IF($Q23=2,IF(AND(ACOMPANHAMENTO="PLE",ISNUMBER($E23)),SUMIF((OFFSET(CÁLCULO!$DO$15:$FM$15,$E23,0,OFFSET(ORÇAMENTO!$D$15,CRONO!$E23,0))),"="&amp;CRONO!AB$12,OFFSET(CÁLCULO!$BP$15:$DN$15,$E23,0,OFFSET(ORÇAMENTO!$D$15,CRONO!$E23,0)))+IF(AND($E25&lt;&gt;"",$E25&lt;&gt;0),SUMIF(CÁLCULO!$DO$15:$FM$33,"="&amp;CRONO!AB$12,CÁLCULO!$BP$15:$DN$33)/(ORÇAMENTO!$X$15-CÁLCULO.TotalAdmLocal)*CRONO!$E25,0),AB24*$R23),SUMIF(OFFSET($R25,1,0,$Q23-2),($L23+1)&amp;"$",OFFSET(AB25,1,0,$Q23-2)))</f>
        <v>0</v>
      </c>
      <c r="AC25" s="253">
        <f ca="1">IF($Q23=2,IF(AND(ACOMPANHAMENTO="PLE",ISNUMBER($E23)),SUMIF((OFFSET(CÁLCULO!$DO$15:$FM$15,$E23,0,OFFSET(ORÇAMENTO!$D$15,CRONO!$E23,0))),"="&amp;CRONO!AC$12,OFFSET(CÁLCULO!$BP$15:$DN$15,$E23,0,OFFSET(ORÇAMENTO!$D$15,CRONO!$E23,0)))+IF(AND($E25&lt;&gt;"",$E25&lt;&gt;0),SUMIF(CÁLCULO!$DO$15:$FM$33,"="&amp;CRONO!AC$12,CÁLCULO!$BP$15:$DN$33)/(ORÇAMENTO!$X$15-CÁLCULO.TotalAdmLocal)*CRONO!$E25,0),AC24*$R23),SUMIF(OFFSET($R25,1,0,$Q23-2),($L23+1)&amp;"$",OFFSET(AC25,1,0,$Q23-2)))</f>
        <v>0</v>
      </c>
      <c r="AD25" s="253">
        <f ca="1">IF($Q23=2,IF(AND(ACOMPANHAMENTO="PLE",ISNUMBER($E23)),SUMIF((OFFSET(CÁLCULO!$DO$15:$FM$15,$E23,0,OFFSET(ORÇAMENTO!$D$15,CRONO!$E23,0))),"="&amp;CRONO!AD$12,OFFSET(CÁLCULO!$BP$15:$DN$15,$E23,0,OFFSET(ORÇAMENTO!$D$15,CRONO!$E23,0)))+IF(AND($E25&lt;&gt;"",$E25&lt;&gt;0),SUMIF(CÁLCULO!$DO$15:$FM$33,"="&amp;CRONO!AD$12,CÁLCULO!$BP$15:$DN$33)/(ORÇAMENTO!$X$15-CÁLCULO.TotalAdmLocal)*CRONO!$E25,0),AD24*$R23),SUMIF(OFFSET($R25,1,0,$Q23-2),($L23+1)&amp;"$",OFFSET(AD25,1,0,$Q23-2)))</f>
        <v>0</v>
      </c>
      <c r="AE25" s="258">
        <f ca="1">IF($Q23=2,IF(AND(ACOMPANHAMENTO="PLE",ISNUMBER($E23)),SUMIF((OFFSET(CÁLCULO!$DO$15:$FM$15,$E23,0,OFFSET(ORÇAMENTO!$D$15,CRONO!$E23,0))),"="&amp;CRONO!AE$12,OFFSET(CÁLCULO!$BP$15:$DN$15,$E23,0,OFFSET(ORÇAMENTO!$D$15,CRONO!$E23,0)))+IF(AND($E25&lt;&gt;"",$E25&lt;&gt;0),SUMIF(CÁLCULO!$DO$15:$FM$33,"="&amp;CRONO!AE$12,CÁLCULO!$BP$15:$DN$33)/(ORÇAMENTO!$X$15-CÁLCULO.TotalAdmLocal)*CRONO!$E25,0),AE24*$R23),SUMIF(OFFSET($R25,1,0,$Q23-2),($L23+1)&amp;"$",OFFSET(AE25,1,0,$Q23-2)))</f>
        <v>0</v>
      </c>
      <c r="AF25" s="257">
        <f ca="1">IF($Q23=2,IF(AND(ACOMPANHAMENTO="PLE",ISNUMBER($E23)),SUMIF((OFFSET(CÁLCULO!$DO$15:$FM$15,$E23,0,OFFSET(ORÇAMENTO!$D$15,CRONO!$E23,0))),"="&amp;CRONO!AF$12,OFFSET(CÁLCULO!$BP$15:$DN$15,$E23,0,OFFSET(ORÇAMENTO!$D$15,CRONO!$E23,0)))+IF(AND($E25&lt;&gt;"",$E25&lt;&gt;0),SUMIF(CÁLCULO!$DO$15:$FM$33,"="&amp;CRONO!AF$12,CÁLCULO!$BP$15:$DN$33)/(ORÇAMENTO!$X$15-CÁLCULO.TotalAdmLocal)*CRONO!$E25,0),AF24*$R23),SUMIF(OFFSET($R25,1,0,$Q23-2),($L23+1)&amp;"$",OFFSET(AF25,1,0,$Q23-2)))</f>
        <v>0</v>
      </c>
      <c r="AG25" s="253">
        <f ca="1">IF($Q23=2,IF(AND(ACOMPANHAMENTO="PLE",ISNUMBER($E23)),SUMIF((OFFSET(CÁLCULO!$DO$15:$FM$15,$E23,0,OFFSET(ORÇAMENTO!$D$15,CRONO!$E23,0))),"="&amp;CRONO!AG$12,OFFSET(CÁLCULO!$BP$15:$DN$15,$E23,0,OFFSET(ORÇAMENTO!$D$15,CRONO!$E23,0)))+IF(AND($E25&lt;&gt;"",$E25&lt;&gt;0),SUMIF(CÁLCULO!$DO$15:$FM$33,"="&amp;CRONO!AG$12,CÁLCULO!$BP$15:$DN$33)/(ORÇAMENTO!$X$15-CÁLCULO.TotalAdmLocal)*CRONO!$E25,0),AG24*$R23),SUMIF(OFFSET($R25,1,0,$Q23-2),($L23+1)&amp;"$",OFFSET(AG25,1,0,$Q23-2)))</f>
        <v>0</v>
      </c>
      <c r="AH25" s="253">
        <f ca="1">IF($Q23=2,IF(AND(ACOMPANHAMENTO="PLE",ISNUMBER($E23)),SUMIF((OFFSET(CÁLCULO!$DO$15:$FM$15,$E23,0,OFFSET(ORÇAMENTO!$D$15,CRONO!$E23,0))),"="&amp;CRONO!AH$12,OFFSET(CÁLCULO!$BP$15:$DN$15,$E23,0,OFFSET(ORÇAMENTO!$D$15,CRONO!$E23,0)))+IF(AND($E25&lt;&gt;"",$E25&lt;&gt;0),SUMIF(CÁLCULO!$DO$15:$FM$33,"="&amp;CRONO!AH$12,CÁLCULO!$BP$15:$DN$33)/(ORÇAMENTO!$X$15-CÁLCULO.TotalAdmLocal)*CRONO!$E25,0),AH24*$R23),SUMIF(OFFSET($R25,1,0,$Q23-2),($L23+1)&amp;"$",OFFSET(AH25,1,0,$Q23-2)))</f>
        <v>0</v>
      </c>
      <c r="AI25" s="253">
        <f ca="1">IF($Q23=2,IF(AND(ACOMPANHAMENTO="PLE",ISNUMBER($E23)),SUMIF((OFFSET(CÁLCULO!$DO$15:$FM$15,$E23,0,OFFSET(ORÇAMENTO!$D$15,CRONO!$E23,0))),"="&amp;CRONO!AI$12,OFFSET(CÁLCULO!$BP$15:$DN$15,$E23,0,OFFSET(ORÇAMENTO!$D$15,CRONO!$E23,0)))+IF(AND($E25&lt;&gt;"",$E25&lt;&gt;0),SUMIF(CÁLCULO!$DO$15:$FM$33,"="&amp;CRONO!AI$12,CÁLCULO!$BP$15:$DN$33)/(ORÇAMENTO!$X$15-CÁLCULO.TotalAdmLocal)*CRONO!$E25,0),AI24*$R23),SUMIF(OFFSET($R25,1,0,$Q23-2),($L23+1)&amp;"$",OFFSET(AI25,1,0,$Q23-2)))</f>
        <v>0</v>
      </c>
      <c r="AJ25" s="253">
        <f ca="1">IF($Q23=2,IF(AND(ACOMPANHAMENTO="PLE",ISNUMBER($E23)),SUMIF((OFFSET(CÁLCULO!$DO$15:$FM$15,$E23,0,OFFSET(ORÇAMENTO!$D$15,CRONO!$E23,0))),"="&amp;CRONO!AJ$12,OFFSET(CÁLCULO!$BP$15:$DN$15,$E23,0,OFFSET(ORÇAMENTO!$D$15,CRONO!$E23,0)))+IF(AND($E25&lt;&gt;"",$E25&lt;&gt;0),SUMIF(CÁLCULO!$DO$15:$FM$33,"="&amp;CRONO!AJ$12,CÁLCULO!$BP$15:$DN$33)/(ORÇAMENTO!$X$15-CÁLCULO.TotalAdmLocal)*CRONO!$E25,0),AJ24*$R23),SUMIF(OFFSET($R25,1,0,$Q23-2),($L23+1)&amp;"$",OFFSET(AJ25,1,0,$Q23-2)))</f>
        <v>0</v>
      </c>
      <c r="AK25" s="253">
        <f ca="1">IF($Q23=2,IF(AND(ACOMPANHAMENTO="PLE",ISNUMBER($E23)),SUMIF((OFFSET(CÁLCULO!$DO$15:$FM$15,$E23,0,OFFSET(ORÇAMENTO!$D$15,CRONO!$E23,0))),"="&amp;CRONO!AK$12,OFFSET(CÁLCULO!$BP$15:$DN$15,$E23,0,OFFSET(ORÇAMENTO!$D$15,CRONO!$E23,0)))+IF(AND($E25&lt;&gt;"",$E25&lt;&gt;0),SUMIF(CÁLCULO!$DO$15:$FM$33,"="&amp;CRONO!AK$12,CÁLCULO!$BP$15:$DN$33)/(ORÇAMENTO!$X$15-CÁLCULO.TotalAdmLocal)*CRONO!$E25,0),AK24*$R23),SUMIF(OFFSET($R25,1,0,$Q23-2),($L23+1)&amp;"$",OFFSET(AK25,1,0,$Q23-2)))</f>
        <v>0</v>
      </c>
      <c r="AL25" s="253">
        <f ca="1">IF($Q23=2,IF(AND(ACOMPANHAMENTO="PLE",ISNUMBER($E23)),SUMIF((OFFSET(CÁLCULO!$DO$15:$FM$15,$E23,0,OFFSET(ORÇAMENTO!$D$15,CRONO!$E23,0))),"="&amp;CRONO!AL$12,OFFSET(CÁLCULO!$BP$15:$DN$15,$E23,0,OFFSET(ORÇAMENTO!$D$15,CRONO!$E23,0)))+IF(AND($E25&lt;&gt;"",$E25&lt;&gt;0),SUMIF(CÁLCULO!$DO$15:$FM$33,"="&amp;CRONO!AL$12,CÁLCULO!$BP$15:$DN$33)/(ORÇAMENTO!$X$15-CÁLCULO.TotalAdmLocal)*CRONO!$E25,0),AL24*$R23),SUMIF(OFFSET($R25,1,0,$Q23-2),($L23+1)&amp;"$",OFFSET(AL25,1,0,$Q23-2)))</f>
        <v>0</v>
      </c>
      <c r="AM25" s="253">
        <f ca="1">IF($Q23=2,IF(AND(ACOMPANHAMENTO="PLE",ISNUMBER($E23)),SUMIF((OFFSET(CÁLCULO!$DO$15:$FM$15,$E23,0,OFFSET(ORÇAMENTO!$D$15,CRONO!$E23,0))),"="&amp;CRONO!AM$12,OFFSET(CÁLCULO!$BP$15:$DN$15,$E23,0,OFFSET(ORÇAMENTO!$D$15,CRONO!$E23,0)))+IF(AND($E25&lt;&gt;"",$E25&lt;&gt;0),SUMIF(CÁLCULO!$DO$15:$FM$33,"="&amp;CRONO!AM$12,CÁLCULO!$BP$15:$DN$33)/(ORÇAMENTO!$X$15-CÁLCULO.TotalAdmLocal)*CRONO!$E25,0),AM24*$R23),SUMIF(OFFSET($R25,1,0,$Q23-2),($L23+1)&amp;"$",OFFSET(AM25,1,0,$Q23-2)))</f>
        <v>0</v>
      </c>
      <c r="AN25" s="253">
        <f ca="1">IF($Q23=2,IF(AND(ACOMPANHAMENTO="PLE",ISNUMBER($E23)),SUMIF((OFFSET(CÁLCULO!$DO$15:$FM$15,$E23,0,OFFSET(ORÇAMENTO!$D$15,CRONO!$E23,0))),"="&amp;CRONO!AN$12,OFFSET(CÁLCULO!$BP$15:$DN$15,$E23,0,OFFSET(ORÇAMENTO!$D$15,CRONO!$E23,0)))+IF(AND($E25&lt;&gt;"",$E25&lt;&gt;0),SUMIF(CÁLCULO!$DO$15:$FM$33,"="&amp;CRONO!AN$12,CÁLCULO!$BP$15:$DN$33)/(ORÇAMENTO!$X$15-CÁLCULO.TotalAdmLocal)*CRONO!$E25,0),AN24*$R23),SUMIF(OFFSET($R25,1,0,$Q23-2),($L23+1)&amp;"$",OFFSET(AN25,1,0,$Q23-2)))</f>
        <v>0</v>
      </c>
      <c r="AO25" s="253">
        <f ca="1">IF($Q23=2,IF(AND(ACOMPANHAMENTO="PLE",ISNUMBER($E23)),SUMIF((OFFSET(CÁLCULO!$DO$15:$FM$15,$E23,0,OFFSET(ORÇAMENTO!$D$15,CRONO!$E23,0))),"="&amp;CRONO!AO$12,OFFSET(CÁLCULO!$BP$15:$DN$15,$E23,0,OFFSET(ORÇAMENTO!$D$15,CRONO!$E23,0)))+IF(AND($E25&lt;&gt;"",$E25&lt;&gt;0),SUMIF(CÁLCULO!$DO$15:$FM$33,"="&amp;CRONO!AO$12,CÁLCULO!$BP$15:$DN$33)/(ORÇAMENTO!$X$15-CÁLCULO.TotalAdmLocal)*CRONO!$E25,0),AO24*$R23),SUMIF(OFFSET($R25,1,0,$Q23-2),($L23+1)&amp;"$",OFFSET(AO25,1,0,$Q23-2)))</f>
        <v>0</v>
      </c>
      <c r="AP25" s="253">
        <f ca="1">IF($Q23=2,IF(AND(ACOMPANHAMENTO="PLE",ISNUMBER($E23)),SUMIF((OFFSET(CÁLCULO!$DO$15:$FM$15,$E23,0,OFFSET(ORÇAMENTO!$D$15,CRONO!$E23,0))),"="&amp;CRONO!AP$12,OFFSET(CÁLCULO!$BP$15:$DN$15,$E23,0,OFFSET(ORÇAMENTO!$D$15,CRONO!$E23,0)))+IF(AND($E25&lt;&gt;"",$E25&lt;&gt;0),SUMIF(CÁLCULO!$DO$15:$FM$33,"="&amp;CRONO!AP$12,CÁLCULO!$BP$15:$DN$33)/(ORÇAMENTO!$X$15-CÁLCULO.TotalAdmLocal)*CRONO!$E25,0),AP24*$R23),SUMIF(OFFSET($R25,1,0,$Q23-2),($L23+1)&amp;"$",OFFSET(AP25,1,0,$Q23-2)))</f>
        <v>0</v>
      </c>
      <c r="AQ25" s="258">
        <f ca="1">IF($Q23=2,IF(AND(ACOMPANHAMENTO="PLE",ISNUMBER($E23)),SUMIF((OFFSET(CÁLCULO!$DO$15:$FM$15,$E23,0,OFFSET(ORÇAMENTO!$D$15,CRONO!$E23,0))),"="&amp;CRONO!AQ$12,OFFSET(CÁLCULO!$BP$15:$DN$15,$E23,0,OFFSET(ORÇAMENTO!$D$15,CRONO!$E23,0)))+IF(AND($E25&lt;&gt;"",$E25&lt;&gt;0),SUMIF(CÁLCULO!$DO$15:$FM$33,"="&amp;CRONO!AQ$12,CÁLCULO!$BP$15:$DN$33)/(ORÇAMENTO!$X$15-CÁLCULO.TotalAdmLocal)*CRONO!$E25,0),AQ24*$R23),SUMIF(OFFSET($R25,1,0,$Q23-2),($L23+1)&amp;"$",OFFSET(AQ25,1,0,$Q23-2)))</f>
        <v>0</v>
      </c>
    </row>
    <row r="26" spans="1:44" x14ac:dyDescent="0.2">
      <c r="A26" s="234">
        <f ca="1">OFFSET(A26,-3,0)+1</f>
        <v>5</v>
      </c>
      <c r="B26" s="234">
        <f ca="1">IF($Q26&lt;&gt;2,0,IF($R26=0,1,IF(E27&gt;0,OFFSET(QCI!$M$13,SUBSTITUTE(E27,".",""),0),OFFSET(ORÇAMENTO!$AA$15,CRONO!$E26,0))/$R26))</f>
        <v>3.9997156461424793E-2</v>
      </c>
      <c r="C26" s="234">
        <f ca="1">IF($Q26&lt;&gt;2,0,IF($R26=0,1,IF(E27&gt;0,OFFSET(QCI!$N$13,SUBSTITUTE(E27,".",""),0),OFFSET(ORÇAMENTO!$AB$15,CRONO!$E26,0))/$R26))</f>
        <v>0</v>
      </c>
      <c r="D26" s="237">
        <f ca="1">IF(AND($Q26=2,ACOMPANHAMENTO="BM"),D27,D28/$R26)</f>
        <v>0.49022506842879826</v>
      </c>
      <c r="E26" s="234">
        <f ca="1">IF(A26&lt;=ORÇAMENTO.MáximoListaCrono,MATCH(A26,ORÇAMENTO.ListaCrono,0),NA())</f>
        <v>10</v>
      </c>
      <c r="F26" s="234" t="str">
        <f ca="1">IF(AND($E27&lt;&gt;-1,$R26&gt;0),"F","")</f>
        <v>F</v>
      </c>
      <c r="G26" s="238" t="str">
        <f ca="1">IF(OR(R26=0,R26=""),"Linha",IF(AND(OR(ACOMPANHAMENTO="PLE",$Q26&lt;&gt;2),$E27=0),"Linha",1-SUM(T26:AR26)))</f>
        <v>Linha</v>
      </c>
      <c r="H26" s="239" t="str">
        <f ca="1">IF($E27=0,OFFSET(ORÇAMENTO!O$15,$E26,0),IF($E27&lt;&gt;-1,OFFSET(QCI!$D$13,$E27,0),""))</f>
        <v>1.4.</v>
      </c>
      <c r="I26" s="240" t="str">
        <f ca="1">IF($E27=0,OFFSET(ORÇAMENTO!R$15,$E26,0),IF($E27&lt;&gt;-1,OFFSET(QCI!$G$13,$E27,0),""))</f>
        <v>DRENAGEM SUPERFICIAL</v>
      </c>
      <c r="J26" s="240"/>
      <c r="K26" s="240"/>
      <c r="L26" s="241">
        <f ca="1">IF($E27=0,OFFSET(ORÇAMENTO!C$15,$E26,0),1)</f>
        <v>2</v>
      </c>
      <c r="M26" s="242">
        <f ca="1">IF($E27=-1,0,IF(M$13&lt;=$L26,IF(ISERROR(MATCH(M$13,OFFSET($L26,1,0,ROW($L$32)-ROW($L26)-1),0)),ROW($L$32)-ROW($L26)-1,MATCH(M$13,OFFSET($L26,1,0,ROW($L$32)-ROW($L26)-1),0)-1),0))</f>
        <v>5</v>
      </c>
      <c r="N26" s="242">
        <f ca="1">IF($E27=-1,0,IF(N$13&lt;=$L26,IF(ISERROR(MATCH(N$13,OFFSET($L26,1,0,ROW($L$32)-ROW($L26)-1),0)),ROW($L$32)-ROW($L26)-1,MATCH(N$13,OFFSET($L26,1,0,ROW($L$32)-ROW($L26)-1),0)-1),0))</f>
        <v>2</v>
      </c>
      <c r="O26" s="242">
        <f ca="1">IF($E27=-1,0,IF(O$13&lt;=$L26,IF(ISERROR(MATCH(O$13,OFFSET($L26,1,0,ROW($L$32)-ROW($L26)-1),0)),ROW($L$32)-ROW($L26)-1,MATCH(O$13,OFFSET($L26,1,0,ROW($L$32)-ROW($L26)-1),0)-1),0))</f>
        <v>0</v>
      </c>
      <c r="P26" s="242">
        <f ca="1">IF($E27=-1,0,IF(P$13&lt;=$L26,IF(ISERROR(MATCH(P$13,OFFSET($L26,1,0,ROW($L$32)-ROW($L26)-1),0)),ROW($L$32)-ROW($L26)-1,MATCH(P$13,OFFSET($L26,1,0,ROW($L$32)-ROW($L26)-1),0)-1),0))</f>
        <v>0</v>
      </c>
      <c r="Q26" s="242">
        <f ca="1">MIN(OFFSET(L26,0,1,,L26))</f>
        <v>2</v>
      </c>
      <c r="R26" s="243">
        <f ca="1">IF($E27=0,OFFSET(ORÇAMENTO!X$15,$E26,0),IF($E27&lt;&gt;-1,OFFSET(QCI!$O$13,$E27,0),""))</f>
        <v>140497.71</v>
      </c>
      <c r="S26" s="244" t="s">
        <v>272</v>
      </c>
      <c r="T26" s="245">
        <f t="shared" ref="T26:AQ26" ca="1" si="8">IF(AND($Q26=2,ACOMPANHAMENTO="BM"),T27,T28/$R26)</f>
        <v>0.49022506842879826</v>
      </c>
      <c r="U26" s="237">
        <f t="shared" ca="1" si="8"/>
        <v>0</v>
      </c>
      <c r="V26" s="237">
        <f t="shared" ca="1" si="8"/>
        <v>0.50977493157120179</v>
      </c>
      <c r="W26" s="237">
        <f t="shared" ca="1" si="8"/>
        <v>0</v>
      </c>
      <c r="X26" s="237">
        <f t="shared" ca="1" si="8"/>
        <v>0</v>
      </c>
      <c r="Y26" s="237">
        <f t="shared" ca="1" si="8"/>
        <v>0</v>
      </c>
      <c r="Z26" s="237">
        <f t="shared" ca="1" si="8"/>
        <v>0</v>
      </c>
      <c r="AA26" s="237">
        <f t="shared" ca="1" si="8"/>
        <v>0</v>
      </c>
      <c r="AB26" s="237">
        <f t="shared" ca="1" si="8"/>
        <v>0</v>
      </c>
      <c r="AC26" s="237">
        <f t="shared" ca="1" si="8"/>
        <v>0</v>
      </c>
      <c r="AD26" s="237">
        <f t="shared" ca="1" si="8"/>
        <v>0</v>
      </c>
      <c r="AE26" s="246">
        <f t="shared" ca="1" si="8"/>
        <v>0</v>
      </c>
      <c r="AF26" s="245">
        <f t="shared" ca="1" si="8"/>
        <v>0</v>
      </c>
      <c r="AG26" s="237">
        <f t="shared" ca="1" si="8"/>
        <v>0</v>
      </c>
      <c r="AH26" s="237">
        <f t="shared" ca="1" si="8"/>
        <v>0</v>
      </c>
      <c r="AI26" s="237">
        <f t="shared" ca="1" si="8"/>
        <v>0</v>
      </c>
      <c r="AJ26" s="237">
        <f t="shared" ca="1" si="8"/>
        <v>0</v>
      </c>
      <c r="AK26" s="237">
        <f t="shared" ca="1" si="8"/>
        <v>0</v>
      </c>
      <c r="AL26" s="237">
        <f t="shared" ca="1" si="8"/>
        <v>0</v>
      </c>
      <c r="AM26" s="237">
        <f t="shared" ca="1" si="8"/>
        <v>0</v>
      </c>
      <c r="AN26" s="237">
        <f t="shared" ca="1" si="8"/>
        <v>0</v>
      </c>
      <c r="AO26" s="237">
        <f t="shared" ca="1" si="8"/>
        <v>0</v>
      </c>
      <c r="AP26" s="237">
        <f t="shared" ca="1" si="8"/>
        <v>0</v>
      </c>
      <c r="AQ26" s="246">
        <f t="shared" ca="1" si="8"/>
        <v>0</v>
      </c>
    </row>
    <row r="27" spans="1:44" ht="12.75" customHeight="1" x14ac:dyDescent="0.2">
      <c r="D27" s="654"/>
      <c r="E27" s="234">
        <f ca="1">IF(ISERROR(E26),IF(1+COUNTIF($L$13:OFFSET(L26,-1,0),1)&lt;=MAX(QCI!$D$13:$D$23),1+COUNTIF($L$13:OFFSET(L26,-1,0),1),-1),0)</f>
        <v>0</v>
      </c>
      <c r="F27" s="234" t="str">
        <f ca="1">IF(AND($E27&lt;&gt;-1,$R26&gt;0),"F","")</f>
        <v>F</v>
      </c>
      <c r="G27" s="247" t="str">
        <f ca="1">IF(OR(R26=0,R26=""),"vazia",IF(AND(OR(ACOMPANHAMENTO="PLE",$Q26&lt;&gt;2),$E27=0),"calculada","--&gt;"))</f>
        <v>calculada</v>
      </c>
      <c r="H27" s="248"/>
      <c r="I27" s="249" t="str">
        <f ca="1">IF(AND(G26&lt;&gt;0,ISNUMBER(G26)),"PREENCHA ESTA LINHA --&gt;","")</f>
        <v/>
      </c>
      <c r="J27" s="249"/>
      <c r="K27" s="249"/>
      <c r="L27" s="250"/>
      <c r="M27" s="250"/>
      <c r="N27" s="250"/>
      <c r="O27" s="250"/>
      <c r="P27" s="250"/>
      <c r="Q27" s="250"/>
      <c r="R27" s="251"/>
      <c r="S27" s="252"/>
      <c r="T27" s="655"/>
      <c r="U27" s="654"/>
      <c r="V27" s="654"/>
      <c r="W27" s="654"/>
      <c r="X27" s="654"/>
      <c r="Y27" s="654"/>
      <c r="Z27" s="654"/>
      <c r="AA27" s="654"/>
      <c r="AB27" s="654"/>
      <c r="AC27" s="654"/>
      <c r="AD27" s="654"/>
      <c r="AE27" s="656"/>
      <c r="AF27" s="655"/>
      <c r="AG27" s="654"/>
      <c r="AH27" s="654"/>
      <c r="AI27" s="654"/>
      <c r="AJ27" s="654"/>
      <c r="AK27" s="654"/>
      <c r="AL27" s="654"/>
      <c r="AM27" s="654"/>
      <c r="AN27" s="654"/>
      <c r="AO27" s="654"/>
      <c r="AP27" s="654"/>
      <c r="AQ27" s="656"/>
      <c r="AR27" s="614"/>
    </row>
    <row r="28" spans="1:44" ht="0.2" hidden="1" customHeight="1" x14ac:dyDescent="0.2">
      <c r="D28" s="253">
        <f ca="1">IF($Q26=2,IF(AND(ACOMPANHAMENTO="PLE",ISNUMBER($E26)),SUMIF((OFFSET(CÁLCULO!$DO$15:$FM$15,$E26,0,OFFSET(ORÇAMENTO!$D$15,CRONO!$E26,0))),"="&amp;CRONO!D$12,OFFSET(CÁLCULO!$BP$15:$DN$15,$E26,0,OFFSET(ORÇAMENTO!$D$15,CRONO!$E26,0)))+IF(AND($E28&lt;&gt;"",$E28&lt;&gt;0),SUMIF(CÁLCULO!$DO$15:$FM$33,"="&amp;CRONO!D$12,CÁLCULO!$BP$15:$DN$33)/(ORÇAMENTO!$X$15-CÁLCULO.TotalAdmLocal)*CRONO!$E28,0),D27*$R26),SUMIF(OFFSET($R28,1,0,$Q26-2),($L26+1)&amp;"$",OFFSET(D28,1,0,$Q26-2)))</f>
        <v>68875.499498839446</v>
      </c>
      <c r="E28" s="234" t="str">
        <f ca="1">IF(OR($Q26&lt;&gt;2,AUTOEVENTO&lt;&gt;"manual",$E27&gt;0),"",SUMIF(OFFSET(CÁLCULO!$M$15,CRONO!$E26,0,OFFSET(ORÇAMENTO!$D$15,CRONO!$E26,0)),1,OFFSET(ORÇAMENTO!$X$15,CRONO!$E26,0,OFFSET(ORÇAMENTO!$D$15,CRONO!$E26,0))))</f>
        <v/>
      </c>
      <c r="G28" s="254"/>
      <c r="R28" s="255" t="str">
        <f ca="1">L26&amp;"$"</f>
        <v>2$</v>
      </c>
      <c r="S28" s="256"/>
      <c r="T28" s="257">
        <f ca="1">IF($Q26=2,IF(AND(ACOMPANHAMENTO="PLE",ISNUMBER($E26)),SUMIF((OFFSET(CÁLCULO!$DO$15:$FM$15,$E26,0,OFFSET(ORÇAMENTO!$D$15,CRONO!$E26,0))),"&lt;="&amp;CRONO!T$12,OFFSET(CÁLCULO!$BP$15:$DN$15,$E26,0,OFFSET(ORÇAMENTO!$D$15,CRONO!$E26,0)))+IF(AND($E28&lt;&gt;"",$E28&lt;&gt;0),SUMIF(CÁLCULO!$DO$15:$FM$33,"&lt;="&amp;CRONO!T$12,CÁLCULO!$BP$15:$DN$33)/(ORÇAMENTO!$X$15-CÁLCULO.TotalAdmLocal)*CRONO!$E28,0),T27*$R26),SUMIF(OFFSET($R28,1,0,$Q26-2),($L26+1)&amp;"$",OFFSET(T28,1,0,$Q26-2)))</f>
        <v>68875.499498839446</v>
      </c>
      <c r="U28" s="253">
        <f ca="1">IF($Q26=2,IF(AND(ACOMPANHAMENTO="PLE",ISNUMBER($E26)),SUMIF((OFFSET(CÁLCULO!$DO$15:$FM$15,$E26,0,OFFSET(ORÇAMENTO!$D$15,CRONO!$E26,0))),"="&amp;CRONO!U$12,OFFSET(CÁLCULO!$BP$15:$DN$15,$E26,0,OFFSET(ORÇAMENTO!$D$15,CRONO!$E26,0)))+IF(AND($E28&lt;&gt;"",$E28&lt;&gt;0),SUMIF(CÁLCULO!$DO$15:$FM$33,"="&amp;CRONO!U$12,CÁLCULO!$BP$15:$DN$33)/(ORÇAMENTO!$X$15-CÁLCULO.TotalAdmLocal)*CRONO!$E28,0),U27*$R26),SUMIF(OFFSET($R28,1,0,$Q26-2),($L26+1)&amp;"$",OFFSET(U28,1,0,$Q26-2)))</f>
        <v>0</v>
      </c>
      <c r="V28" s="253">
        <f ca="1">IF($Q26=2,IF(AND(ACOMPANHAMENTO="PLE",ISNUMBER($E26)),SUMIF((OFFSET(CÁLCULO!$DO$15:$FM$15,$E26,0,OFFSET(ORÇAMENTO!$D$15,CRONO!$E26,0))),"="&amp;CRONO!V$12,OFFSET(CÁLCULO!$BP$15:$DN$15,$E26,0,OFFSET(ORÇAMENTO!$D$15,CRONO!$E26,0)))+IF(AND($E28&lt;&gt;"",$E28&lt;&gt;0),SUMIF(CÁLCULO!$DO$15:$FM$33,"="&amp;CRONO!V$12,CÁLCULO!$BP$15:$DN$33)/(ORÇAMENTO!$X$15-CÁLCULO.TotalAdmLocal)*CRONO!$E28,0),V27*$R26),SUMIF(OFFSET($R28,1,0,$Q26-2),($L26+1)&amp;"$",OFFSET(V28,1,0,$Q26-2)))</f>
        <v>71622.210501160545</v>
      </c>
      <c r="W28" s="253">
        <f ca="1">IF($Q26=2,IF(AND(ACOMPANHAMENTO="PLE",ISNUMBER($E26)),SUMIF((OFFSET(CÁLCULO!$DO$15:$FM$15,$E26,0,OFFSET(ORÇAMENTO!$D$15,CRONO!$E26,0))),"="&amp;CRONO!W$12,OFFSET(CÁLCULO!$BP$15:$DN$15,$E26,0,OFFSET(ORÇAMENTO!$D$15,CRONO!$E26,0)))+IF(AND($E28&lt;&gt;"",$E28&lt;&gt;0),SUMIF(CÁLCULO!$DO$15:$FM$33,"="&amp;CRONO!W$12,CÁLCULO!$BP$15:$DN$33)/(ORÇAMENTO!$X$15-CÁLCULO.TotalAdmLocal)*CRONO!$E28,0),W27*$R26),SUMIF(OFFSET($R28,1,0,$Q26-2),($L26+1)&amp;"$",OFFSET(W28,1,0,$Q26-2)))</f>
        <v>0</v>
      </c>
      <c r="X28" s="253">
        <f ca="1">IF($Q26=2,IF(AND(ACOMPANHAMENTO="PLE",ISNUMBER($E26)),SUMIF((OFFSET(CÁLCULO!$DO$15:$FM$15,$E26,0,OFFSET(ORÇAMENTO!$D$15,CRONO!$E26,0))),"="&amp;CRONO!X$12,OFFSET(CÁLCULO!$BP$15:$DN$15,$E26,0,OFFSET(ORÇAMENTO!$D$15,CRONO!$E26,0)))+IF(AND($E28&lt;&gt;"",$E28&lt;&gt;0),SUMIF(CÁLCULO!$DO$15:$FM$33,"="&amp;CRONO!X$12,CÁLCULO!$BP$15:$DN$33)/(ORÇAMENTO!$X$15-CÁLCULO.TotalAdmLocal)*CRONO!$E28,0),X27*$R26),SUMIF(OFFSET($R28,1,0,$Q26-2),($L26+1)&amp;"$",OFFSET(X28,1,0,$Q26-2)))</f>
        <v>0</v>
      </c>
      <c r="Y28" s="253">
        <f ca="1">IF($Q26=2,IF(AND(ACOMPANHAMENTO="PLE",ISNUMBER($E26)),SUMIF((OFFSET(CÁLCULO!$DO$15:$FM$15,$E26,0,OFFSET(ORÇAMENTO!$D$15,CRONO!$E26,0))),"="&amp;CRONO!Y$12,OFFSET(CÁLCULO!$BP$15:$DN$15,$E26,0,OFFSET(ORÇAMENTO!$D$15,CRONO!$E26,0)))+IF(AND($E28&lt;&gt;"",$E28&lt;&gt;0),SUMIF(CÁLCULO!$DO$15:$FM$33,"="&amp;CRONO!Y$12,CÁLCULO!$BP$15:$DN$33)/(ORÇAMENTO!$X$15-CÁLCULO.TotalAdmLocal)*CRONO!$E28,0),Y27*$R26),SUMIF(OFFSET($R28,1,0,$Q26-2),($L26+1)&amp;"$",OFFSET(Y28,1,0,$Q26-2)))</f>
        <v>0</v>
      </c>
      <c r="Z28" s="253">
        <f ca="1">IF($Q26=2,IF(AND(ACOMPANHAMENTO="PLE",ISNUMBER($E26)),SUMIF((OFFSET(CÁLCULO!$DO$15:$FM$15,$E26,0,OFFSET(ORÇAMENTO!$D$15,CRONO!$E26,0))),"="&amp;CRONO!Z$12,OFFSET(CÁLCULO!$BP$15:$DN$15,$E26,0,OFFSET(ORÇAMENTO!$D$15,CRONO!$E26,0)))+IF(AND($E28&lt;&gt;"",$E28&lt;&gt;0),SUMIF(CÁLCULO!$DO$15:$FM$33,"="&amp;CRONO!Z$12,CÁLCULO!$BP$15:$DN$33)/(ORÇAMENTO!$X$15-CÁLCULO.TotalAdmLocal)*CRONO!$E28,0),Z27*$R26),SUMIF(OFFSET($R28,1,0,$Q26-2),($L26+1)&amp;"$",OFFSET(Z28,1,0,$Q26-2)))</f>
        <v>0</v>
      </c>
      <c r="AA28" s="253">
        <f ca="1">IF($Q26=2,IF(AND(ACOMPANHAMENTO="PLE",ISNUMBER($E26)),SUMIF((OFFSET(CÁLCULO!$DO$15:$FM$15,$E26,0,OFFSET(ORÇAMENTO!$D$15,CRONO!$E26,0))),"="&amp;CRONO!AA$12,OFFSET(CÁLCULO!$BP$15:$DN$15,$E26,0,OFFSET(ORÇAMENTO!$D$15,CRONO!$E26,0)))+IF(AND($E28&lt;&gt;"",$E28&lt;&gt;0),SUMIF(CÁLCULO!$DO$15:$FM$33,"="&amp;CRONO!AA$12,CÁLCULO!$BP$15:$DN$33)/(ORÇAMENTO!$X$15-CÁLCULO.TotalAdmLocal)*CRONO!$E28,0),AA27*$R26),SUMIF(OFFSET($R28,1,0,$Q26-2),($L26+1)&amp;"$",OFFSET(AA28,1,0,$Q26-2)))</f>
        <v>0</v>
      </c>
      <c r="AB28" s="253">
        <f ca="1">IF($Q26=2,IF(AND(ACOMPANHAMENTO="PLE",ISNUMBER($E26)),SUMIF((OFFSET(CÁLCULO!$DO$15:$FM$15,$E26,0,OFFSET(ORÇAMENTO!$D$15,CRONO!$E26,0))),"="&amp;CRONO!AB$12,OFFSET(CÁLCULO!$BP$15:$DN$15,$E26,0,OFFSET(ORÇAMENTO!$D$15,CRONO!$E26,0)))+IF(AND($E28&lt;&gt;"",$E28&lt;&gt;0),SUMIF(CÁLCULO!$DO$15:$FM$33,"="&amp;CRONO!AB$12,CÁLCULO!$BP$15:$DN$33)/(ORÇAMENTO!$X$15-CÁLCULO.TotalAdmLocal)*CRONO!$E28,0),AB27*$R26),SUMIF(OFFSET($R28,1,0,$Q26-2),($L26+1)&amp;"$",OFFSET(AB28,1,0,$Q26-2)))</f>
        <v>0</v>
      </c>
      <c r="AC28" s="253">
        <f ca="1">IF($Q26=2,IF(AND(ACOMPANHAMENTO="PLE",ISNUMBER($E26)),SUMIF((OFFSET(CÁLCULO!$DO$15:$FM$15,$E26,0,OFFSET(ORÇAMENTO!$D$15,CRONO!$E26,0))),"="&amp;CRONO!AC$12,OFFSET(CÁLCULO!$BP$15:$DN$15,$E26,0,OFFSET(ORÇAMENTO!$D$15,CRONO!$E26,0)))+IF(AND($E28&lt;&gt;"",$E28&lt;&gt;0),SUMIF(CÁLCULO!$DO$15:$FM$33,"="&amp;CRONO!AC$12,CÁLCULO!$BP$15:$DN$33)/(ORÇAMENTO!$X$15-CÁLCULO.TotalAdmLocal)*CRONO!$E28,0),AC27*$R26),SUMIF(OFFSET($R28,1,0,$Q26-2),($L26+1)&amp;"$",OFFSET(AC28,1,0,$Q26-2)))</f>
        <v>0</v>
      </c>
      <c r="AD28" s="253">
        <f ca="1">IF($Q26=2,IF(AND(ACOMPANHAMENTO="PLE",ISNUMBER($E26)),SUMIF((OFFSET(CÁLCULO!$DO$15:$FM$15,$E26,0,OFFSET(ORÇAMENTO!$D$15,CRONO!$E26,0))),"="&amp;CRONO!AD$12,OFFSET(CÁLCULO!$BP$15:$DN$15,$E26,0,OFFSET(ORÇAMENTO!$D$15,CRONO!$E26,0)))+IF(AND($E28&lt;&gt;"",$E28&lt;&gt;0),SUMIF(CÁLCULO!$DO$15:$FM$33,"="&amp;CRONO!AD$12,CÁLCULO!$BP$15:$DN$33)/(ORÇAMENTO!$X$15-CÁLCULO.TotalAdmLocal)*CRONO!$E28,0),AD27*$R26),SUMIF(OFFSET($R28,1,0,$Q26-2),($L26+1)&amp;"$",OFFSET(AD28,1,0,$Q26-2)))</f>
        <v>0</v>
      </c>
      <c r="AE28" s="258">
        <f ca="1">IF($Q26=2,IF(AND(ACOMPANHAMENTO="PLE",ISNUMBER($E26)),SUMIF((OFFSET(CÁLCULO!$DO$15:$FM$15,$E26,0,OFFSET(ORÇAMENTO!$D$15,CRONO!$E26,0))),"="&amp;CRONO!AE$12,OFFSET(CÁLCULO!$BP$15:$DN$15,$E26,0,OFFSET(ORÇAMENTO!$D$15,CRONO!$E26,0)))+IF(AND($E28&lt;&gt;"",$E28&lt;&gt;0),SUMIF(CÁLCULO!$DO$15:$FM$33,"="&amp;CRONO!AE$12,CÁLCULO!$BP$15:$DN$33)/(ORÇAMENTO!$X$15-CÁLCULO.TotalAdmLocal)*CRONO!$E28,0),AE27*$R26),SUMIF(OFFSET($R28,1,0,$Q26-2),($L26+1)&amp;"$",OFFSET(AE28,1,0,$Q26-2)))</f>
        <v>0</v>
      </c>
      <c r="AF28" s="257">
        <f ca="1">IF($Q26=2,IF(AND(ACOMPANHAMENTO="PLE",ISNUMBER($E26)),SUMIF((OFFSET(CÁLCULO!$DO$15:$FM$15,$E26,0,OFFSET(ORÇAMENTO!$D$15,CRONO!$E26,0))),"="&amp;CRONO!AF$12,OFFSET(CÁLCULO!$BP$15:$DN$15,$E26,0,OFFSET(ORÇAMENTO!$D$15,CRONO!$E26,0)))+IF(AND($E28&lt;&gt;"",$E28&lt;&gt;0),SUMIF(CÁLCULO!$DO$15:$FM$33,"="&amp;CRONO!AF$12,CÁLCULO!$BP$15:$DN$33)/(ORÇAMENTO!$X$15-CÁLCULO.TotalAdmLocal)*CRONO!$E28,0),AF27*$R26),SUMIF(OFFSET($R28,1,0,$Q26-2),($L26+1)&amp;"$",OFFSET(AF28,1,0,$Q26-2)))</f>
        <v>0</v>
      </c>
      <c r="AG28" s="253">
        <f ca="1">IF($Q26=2,IF(AND(ACOMPANHAMENTO="PLE",ISNUMBER($E26)),SUMIF((OFFSET(CÁLCULO!$DO$15:$FM$15,$E26,0,OFFSET(ORÇAMENTO!$D$15,CRONO!$E26,0))),"="&amp;CRONO!AG$12,OFFSET(CÁLCULO!$BP$15:$DN$15,$E26,0,OFFSET(ORÇAMENTO!$D$15,CRONO!$E26,0)))+IF(AND($E28&lt;&gt;"",$E28&lt;&gt;0),SUMIF(CÁLCULO!$DO$15:$FM$33,"="&amp;CRONO!AG$12,CÁLCULO!$BP$15:$DN$33)/(ORÇAMENTO!$X$15-CÁLCULO.TotalAdmLocal)*CRONO!$E28,0),AG27*$R26),SUMIF(OFFSET($R28,1,0,$Q26-2),($L26+1)&amp;"$",OFFSET(AG28,1,0,$Q26-2)))</f>
        <v>0</v>
      </c>
      <c r="AH28" s="253">
        <f ca="1">IF($Q26=2,IF(AND(ACOMPANHAMENTO="PLE",ISNUMBER($E26)),SUMIF((OFFSET(CÁLCULO!$DO$15:$FM$15,$E26,0,OFFSET(ORÇAMENTO!$D$15,CRONO!$E26,0))),"="&amp;CRONO!AH$12,OFFSET(CÁLCULO!$BP$15:$DN$15,$E26,0,OFFSET(ORÇAMENTO!$D$15,CRONO!$E26,0)))+IF(AND($E28&lt;&gt;"",$E28&lt;&gt;0),SUMIF(CÁLCULO!$DO$15:$FM$33,"="&amp;CRONO!AH$12,CÁLCULO!$BP$15:$DN$33)/(ORÇAMENTO!$X$15-CÁLCULO.TotalAdmLocal)*CRONO!$E28,0),AH27*$R26),SUMIF(OFFSET($R28,1,0,$Q26-2),($L26+1)&amp;"$",OFFSET(AH28,1,0,$Q26-2)))</f>
        <v>0</v>
      </c>
      <c r="AI28" s="253">
        <f ca="1">IF($Q26=2,IF(AND(ACOMPANHAMENTO="PLE",ISNUMBER($E26)),SUMIF((OFFSET(CÁLCULO!$DO$15:$FM$15,$E26,0,OFFSET(ORÇAMENTO!$D$15,CRONO!$E26,0))),"="&amp;CRONO!AI$12,OFFSET(CÁLCULO!$BP$15:$DN$15,$E26,0,OFFSET(ORÇAMENTO!$D$15,CRONO!$E26,0)))+IF(AND($E28&lt;&gt;"",$E28&lt;&gt;0),SUMIF(CÁLCULO!$DO$15:$FM$33,"="&amp;CRONO!AI$12,CÁLCULO!$BP$15:$DN$33)/(ORÇAMENTO!$X$15-CÁLCULO.TotalAdmLocal)*CRONO!$E28,0),AI27*$R26),SUMIF(OFFSET($R28,1,0,$Q26-2),($L26+1)&amp;"$",OFFSET(AI28,1,0,$Q26-2)))</f>
        <v>0</v>
      </c>
      <c r="AJ28" s="253">
        <f ca="1">IF($Q26=2,IF(AND(ACOMPANHAMENTO="PLE",ISNUMBER($E26)),SUMIF((OFFSET(CÁLCULO!$DO$15:$FM$15,$E26,0,OFFSET(ORÇAMENTO!$D$15,CRONO!$E26,0))),"="&amp;CRONO!AJ$12,OFFSET(CÁLCULO!$BP$15:$DN$15,$E26,0,OFFSET(ORÇAMENTO!$D$15,CRONO!$E26,0)))+IF(AND($E28&lt;&gt;"",$E28&lt;&gt;0),SUMIF(CÁLCULO!$DO$15:$FM$33,"="&amp;CRONO!AJ$12,CÁLCULO!$BP$15:$DN$33)/(ORÇAMENTO!$X$15-CÁLCULO.TotalAdmLocal)*CRONO!$E28,0),AJ27*$R26),SUMIF(OFFSET($R28,1,0,$Q26-2),($L26+1)&amp;"$",OFFSET(AJ28,1,0,$Q26-2)))</f>
        <v>0</v>
      </c>
      <c r="AK28" s="253">
        <f ca="1">IF($Q26=2,IF(AND(ACOMPANHAMENTO="PLE",ISNUMBER($E26)),SUMIF((OFFSET(CÁLCULO!$DO$15:$FM$15,$E26,0,OFFSET(ORÇAMENTO!$D$15,CRONO!$E26,0))),"="&amp;CRONO!AK$12,OFFSET(CÁLCULO!$BP$15:$DN$15,$E26,0,OFFSET(ORÇAMENTO!$D$15,CRONO!$E26,0)))+IF(AND($E28&lt;&gt;"",$E28&lt;&gt;0),SUMIF(CÁLCULO!$DO$15:$FM$33,"="&amp;CRONO!AK$12,CÁLCULO!$BP$15:$DN$33)/(ORÇAMENTO!$X$15-CÁLCULO.TotalAdmLocal)*CRONO!$E28,0),AK27*$R26),SUMIF(OFFSET($R28,1,0,$Q26-2),($L26+1)&amp;"$",OFFSET(AK28,1,0,$Q26-2)))</f>
        <v>0</v>
      </c>
      <c r="AL28" s="253">
        <f ca="1">IF($Q26=2,IF(AND(ACOMPANHAMENTO="PLE",ISNUMBER($E26)),SUMIF((OFFSET(CÁLCULO!$DO$15:$FM$15,$E26,0,OFFSET(ORÇAMENTO!$D$15,CRONO!$E26,0))),"="&amp;CRONO!AL$12,OFFSET(CÁLCULO!$BP$15:$DN$15,$E26,0,OFFSET(ORÇAMENTO!$D$15,CRONO!$E26,0)))+IF(AND($E28&lt;&gt;"",$E28&lt;&gt;0),SUMIF(CÁLCULO!$DO$15:$FM$33,"="&amp;CRONO!AL$12,CÁLCULO!$BP$15:$DN$33)/(ORÇAMENTO!$X$15-CÁLCULO.TotalAdmLocal)*CRONO!$E28,0),AL27*$R26),SUMIF(OFFSET($R28,1,0,$Q26-2),($L26+1)&amp;"$",OFFSET(AL28,1,0,$Q26-2)))</f>
        <v>0</v>
      </c>
      <c r="AM28" s="253">
        <f ca="1">IF($Q26=2,IF(AND(ACOMPANHAMENTO="PLE",ISNUMBER($E26)),SUMIF((OFFSET(CÁLCULO!$DO$15:$FM$15,$E26,0,OFFSET(ORÇAMENTO!$D$15,CRONO!$E26,0))),"="&amp;CRONO!AM$12,OFFSET(CÁLCULO!$BP$15:$DN$15,$E26,0,OFFSET(ORÇAMENTO!$D$15,CRONO!$E26,0)))+IF(AND($E28&lt;&gt;"",$E28&lt;&gt;0),SUMIF(CÁLCULO!$DO$15:$FM$33,"="&amp;CRONO!AM$12,CÁLCULO!$BP$15:$DN$33)/(ORÇAMENTO!$X$15-CÁLCULO.TotalAdmLocal)*CRONO!$E28,0),AM27*$R26),SUMIF(OFFSET($R28,1,0,$Q26-2),($L26+1)&amp;"$",OFFSET(AM28,1,0,$Q26-2)))</f>
        <v>0</v>
      </c>
      <c r="AN28" s="253">
        <f ca="1">IF($Q26=2,IF(AND(ACOMPANHAMENTO="PLE",ISNUMBER($E26)),SUMIF((OFFSET(CÁLCULO!$DO$15:$FM$15,$E26,0,OFFSET(ORÇAMENTO!$D$15,CRONO!$E26,0))),"="&amp;CRONO!AN$12,OFFSET(CÁLCULO!$BP$15:$DN$15,$E26,0,OFFSET(ORÇAMENTO!$D$15,CRONO!$E26,0)))+IF(AND($E28&lt;&gt;"",$E28&lt;&gt;0),SUMIF(CÁLCULO!$DO$15:$FM$33,"="&amp;CRONO!AN$12,CÁLCULO!$BP$15:$DN$33)/(ORÇAMENTO!$X$15-CÁLCULO.TotalAdmLocal)*CRONO!$E28,0),AN27*$R26),SUMIF(OFFSET($R28,1,0,$Q26-2),($L26+1)&amp;"$",OFFSET(AN28,1,0,$Q26-2)))</f>
        <v>0</v>
      </c>
      <c r="AO28" s="253">
        <f ca="1">IF($Q26=2,IF(AND(ACOMPANHAMENTO="PLE",ISNUMBER($E26)),SUMIF((OFFSET(CÁLCULO!$DO$15:$FM$15,$E26,0,OFFSET(ORÇAMENTO!$D$15,CRONO!$E26,0))),"="&amp;CRONO!AO$12,OFFSET(CÁLCULO!$BP$15:$DN$15,$E26,0,OFFSET(ORÇAMENTO!$D$15,CRONO!$E26,0)))+IF(AND($E28&lt;&gt;"",$E28&lt;&gt;0),SUMIF(CÁLCULO!$DO$15:$FM$33,"="&amp;CRONO!AO$12,CÁLCULO!$BP$15:$DN$33)/(ORÇAMENTO!$X$15-CÁLCULO.TotalAdmLocal)*CRONO!$E28,0),AO27*$R26),SUMIF(OFFSET($R28,1,0,$Q26-2),($L26+1)&amp;"$",OFFSET(AO28,1,0,$Q26-2)))</f>
        <v>0</v>
      </c>
      <c r="AP28" s="253">
        <f ca="1">IF($Q26=2,IF(AND(ACOMPANHAMENTO="PLE",ISNUMBER($E26)),SUMIF((OFFSET(CÁLCULO!$DO$15:$FM$15,$E26,0,OFFSET(ORÇAMENTO!$D$15,CRONO!$E26,0))),"="&amp;CRONO!AP$12,OFFSET(CÁLCULO!$BP$15:$DN$15,$E26,0,OFFSET(ORÇAMENTO!$D$15,CRONO!$E26,0)))+IF(AND($E28&lt;&gt;"",$E28&lt;&gt;0),SUMIF(CÁLCULO!$DO$15:$FM$33,"="&amp;CRONO!AP$12,CÁLCULO!$BP$15:$DN$33)/(ORÇAMENTO!$X$15-CÁLCULO.TotalAdmLocal)*CRONO!$E28,0),AP27*$R26),SUMIF(OFFSET($R28,1,0,$Q26-2),($L26+1)&amp;"$",OFFSET(AP28,1,0,$Q26-2)))</f>
        <v>0</v>
      </c>
      <c r="AQ28" s="258">
        <f ca="1">IF($Q26=2,IF(AND(ACOMPANHAMENTO="PLE",ISNUMBER($E26)),SUMIF((OFFSET(CÁLCULO!$DO$15:$FM$15,$E26,0,OFFSET(ORÇAMENTO!$D$15,CRONO!$E26,0))),"="&amp;CRONO!AQ$12,OFFSET(CÁLCULO!$BP$15:$DN$15,$E26,0,OFFSET(ORÇAMENTO!$D$15,CRONO!$E26,0)))+IF(AND($E28&lt;&gt;"",$E28&lt;&gt;0),SUMIF(CÁLCULO!$DO$15:$FM$33,"="&amp;CRONO!AQ$12,CÁLCULO!$BP$15:$DN$33)/(ORÇAMENTO!$X$15-CÁLCULO.TotalAdmLocal)*CRONO!$E28,0),AQ27*$R26),SUMIF(OFFSET($R28,1,0,$Q26-2),($L26+1)&amp;"$",OFFSET(AQ28,1,0,$Q26-2)))</f>
        <v>0</v>
      </c>
    </row>
    <row r="29" spans="1:44" x14ac:dyDescent="0.2">
      <c r="A29" s="234">
        <f ca="1">OFFSET(A29,-3,0)+1</f>
        <v>6</v>
      </c>
      <c r="B29" s="234">
        <f ca="1">IF($Q29&lt;&gt;2,0,IF($R29=0,1,IF(E30&gt;0,OFFSET(QCI!$M$13,SUBSTITUTE(E30,".",""),0),OFFSET(ORÇAMENTO!$AA$15,CRONO!$E29,0))/$R29))</f>
        <v>3.9997156461424793E-2</v>
      </c>
      <c r="C29" s="234">
        <f ca="1">IF($Q29&lt;&gt;2,0,IF($R29=0,1,IF(E30&gt;0,OFFSET(QCI!$N$13,SUBSTITUTE(E30,".",""),0),OFFSET(ORÇAMENTO!$AB$15,CRONO!$E29,0))/$R29))</f>
        <v>0</v>
      </c>
      <c r="D29" s="237">
        <f ca="1">IF(AND($Q29=2,ACOMPANHAMENTO="BM"),D30,D31/$R29)</f>
        <v>0.35353773102192027</v>
      </c>
      <c r="E29" s="234">
        <f ca="1">IF(A29&lt;=ORÇAMENTO.MáximoListaCrono,MATCH(A29,ORÇAMENTO.ListaCrono,0),NA())</f>
        <v>13</v>
      </c>
      <c r="F29" s="234" t="str">
        <f ca="1">IF(AND($E30&lt;&gt;-1,$R29&gt;0),"F","")</f>
        <v>F</v>
      </c>
      <c r="G29" s="238" t="str">
        <f ca="1">IF(OR(R29=0,R29=""),"Linha",IF(AND(OR(ACOMPANHAMENTO="PLE",$Q29&lt;&gt;2),$E30=0),"Linha",1-SUM(T29:AR29)))</f>
        <v>Linha</v>
      </c>
      <c r="H29" s="239" t="str">
        <f ca="1">IF($E30=0,OFFSET(ORÇAMENTO!O$15,$E29,0),IF($E30&lt;&gt;-1,OFFSET(QCI!$D$13,$E30,0),""))</f>
        <v>1.5.</v>
      </c>
      <c r="I29" s="240" t="str">
        <f ca="1">IF($E30=0,OFFSET(ORÇAMENTO!R$15,$E29,0),IF($E30&lt;&gt;-1,OFFSET(QCI!$G$13,$E30,0),""))</f>
        <v>SINALIZAÇÃO VIÁRIA</v>
      </c>
      <c r="J29" s="240"/>
      <c r="K29" s="240"/>
      <c r="L29" s="241">
        <f ca="1">IF($E30=0,OFFSET(ORÇAMENTO!C$15,$E29,0),1)</f>
        <v>2</v>
      </c>
      <c r="M29" s="242">
        <f ca="1">IF($E30=-1,0,IF(M$13&lt;=$L29,IF(ISERROR(MATCH(M$13,OFFSET($L29,1,0,ROW($L$32)-ROW($L29)-1),0)),ROW($L$32)-ROW($L29)-1,MATCH(M$13,OFFSET($L29,1,0,ROW($L$32)-ROW($L29)-1),0)-1),0))</f>
        <v>2</v>
      </c>
      <c r="N29" s="242">
        <f ca="1">IF($E30=-1,0,IF(N$13&lt;=$L29,IF(ISERROR(MATCH(N$13,OFFSET($L29,1,0,ROW($L$32)-ROW($L29)-1),0)),ROW($L$32)-ROW($L29)-1,MATCH(N$13,OFFSET($L29,1,0,ROW($L$32)-ROW($L29)-1),0)-1),0))</f>
        <v>2</v>
      </c>
      <c r="O29" s="242">
        <f ca="1">IF($E30=-1,0,IF(O$13&lt;=$L29,IF(ISERROR(MATCH(O$13,OFFSET($L29,1,0,ROW($L$32)-ROW($L29)-1),0)),ROW($L$32)-ROW($L29)-1,MATCH(O$13,OFFSET($L29,1,0,ROW($L$32)-ROW($L29)-1),0)-1),0))</f>
        <v>0</v>
      </c>
      <c r="P29" s="242">
        <f ca="1">IF($E30=-1,0,IF(P$13&lt;=$L29,IF(ISERROR(MATCH(P$13,OFFSET($L29,1,0,ROW($L$32)-ROW($L29)-1),0)),ROW($L$32)-ROW($L29)-1,MATCH(P$13,OFFSET($L29,1,0,ROW($L$32)-ROW($L29)-1),0)-1),0))</f>
        <v>0</v>
      </c>
      <c r="Q29" s="242">
        <f ca="1">MIN(OFFSET(L29,0,1,,L29))</f>
        <v>2</v>
      </c>
      <c r="R29" s="243">
        <f ca="1">IF($E30=0,OFFSET(ORÇAMENTO!X$15,$E29,0),IF($E30&lt;&gt;-1,OFFSET(QCI!$O$13,$E30,0),""))</f>
        <v>5863.08</v>
      </c>
      <c r="S29" s="244" t="s">
        <v>272</v>
      </c>
      <c r="T29" s="245">
        <f t="shared" ref="T29:AQ29" ca="1" si="9">IF(AND($Q29=2,ACOMPANHAMENTO="BM"),T30,T31/$R29)</f>
        <v>0.35353773102192027</v>
      </c>
      <c r="U29" s="237">
        <f t="shared" ca="1" si="9"/>
        <v>0</v>
      </c>
      <c r="V29" s="237">
        <f t="shared" ca="1" si="9"/>
        <v>0.64646226897807979</v>
      </c>
      <c r="W29" s="237">
        <f t="shared" ca="1" si="9"/>
        <v>0</v>
      </c>
      <c r="X29" s="237">
        <f t="shared" ca="1" si="9"/>
        <v>0</v>
      </c>
      <c r="Y29" s="237">
        <f t="shared" ca="1" si="9"/>
        <v>0</v>
      </c>
      <c r="Z29" s="237">
        <f t="shared" ca="1" si="9"/>
        <v>0</v>
      </c>
      <c r="AA29" s="237">
        <f t="shared" ca="1" si="9"/>
        <v>0</v>
      </c>
      <c r="AB29" s="237">
        <f t="shared" ca="1" si="9"/>
        <v>0</v>
      </c>
      <c r="AC29" s="237">
        <f t="shared" ca="1" si="9"/>
        <v>0</v>
      </c>
      <c r="AD29" s="237">
        <f t="shared" ca="1" si="9"/>
        <v>0</v>
      </c>
      <c r="AE29" s="246">
        <f t="shared" ca="1" si="9"/>
        <v>0</v>
      </c>
      <c r="AF29" s="245">
        <f t="shared" ca="1" si="9"/>
        <v>1</v>
      </c>
      <c r="AG29" s="237">
        <f t="shared" ca="1" si="9"/>
        <v>0</v>
      </c>
      <c r="AH29" s="237">
        <f t="shared" ca="1" si="9"/>
        <v>0</v>
      </c>
      <c r="AI29" s="237">
        <f t="shared" ca="1" si="9"/>
        <v>0</v>
      </c>
      <c r="AJ29" s="237">
        <f t="shared" ca="1" si="9"/>
        <v>0</v>
      </c>
      <c r="AK29" s="237">
        <f t="shared" ca="1" si="9"/>
        <v>0</v>
      </c>
      <c r="AL29" s="237">
        <f t="shared" ca="1" si="9"/>
        <v>0</v>
      </c>
      <c r="AM29" s="237">
        <f t="shared" ca="1" si="9"/>
        <v>0</v>
      </c>
      <c r="AN29" s="237">
        <f t="shared" ca="1" si="9"/>
        <v>0</v>
      </c>
      <c r="AO29" s="237">
        <f t="shared" ca="1" si="9"/>
        <v>0</v>
      </c>
      <c r="AP29" s="237">
        <f t="shared" ca="1" si="9"/>
        <v>0</v>
      </c>
      <c r="AQ29" s="246">
        <f t="shared" ca="1" si="9"/>
        <v>0</v>
      </c>
    </row>
    <row r="30" spans="1:44" ht="12.75" customHeight="1" x14ac:dyDescent="0.2">
      <c r="D30" s="654"/>
      <c r="E30" s="234">
        <f ca="1">IF(ISERROR(E29),IF(1+COUNTIF($L$13:OFFSET(L29,-1,0),1)&lt;=MAX(QCI!$D$13:$D$23),1+COUNTIF($L$13:OFFSET(L29,-1,0),1),-1),0)</f>
        <v>0</v>
      </c>
      <c r="F30" s="234" t="str">
        <f ca="1">IF(AND($E30&lt;&gt;-1,$R29&gt;0),"F","")</f>
        <v>F</v>
      </c>
      <c r="G30" s="247" t="str">
        <f ca="1">IF(OR(R29=0,R29=""),"vazia",IF(AND(OR(ACOMPANHAMENTO="PLE",$Q29&lt;&gt;2),$E30=0),"calculada","--&gt;"))</f>
        <v>calculada</v>
      </c>
      <c r="H30" s="248"/>
      <c r="I30" s="249" t="str">
        <f ca="1">IF(AND(G29&lt;&gt;0,ISNUMBER(G29)),"PREENCHA ESTA LINHA --&gt;","")</f>
        <v/>
      </c>
      <c r="J30" s="249"/>
      <c r="K30" s="249"/>
      <c r="L30" s="250"/>
      <c r="M30" s="250"/>
      <c r="N30" s="250"/>
      <c r="O30" s="250"/>
      <c r="P30" s="250"/>
      <c r="Q30" s="250"/>
      <c r="R30" s="251"/>
      <c r="S30" s="252"/>
      <c r="T30" s="655"/>
      <c r="U30" s="654"/>
      <c r="V30" s="654"/>
      <c r="W30" s="654"/>
      <c r="X30" s="654"/>
      <c r="Y30" s="654"/>
      <c r="Z30" s="654"/>
      <c r="AA30" s="654"/>
      <c r="AB30" s="654"/>
      <c r="AC30" s="654"/>
      <c r="AD30" s="654"/>
      <c r="AE30" s="656"/>
      <c r="AF30" s="655"/>
      <c r="AG30" s="654"/>
      <c r="AH30" s="654"/>
      <c r="AI30" s="654"/>
      <c r="AJ30" s="654"/>
      <c r="AK30" s="654"/>
      <c r="AL30" s="654"/>
      <c r="AM30" s="654"/>
      <c r="AN30" s="654"/>
      <c r="AO30" s="654"/>
      <c r="AP30" s="654"/>
      <c r="AQ30" s="656"/>
      <c r="AR30" s="614"/>
    </row>
    <row r="31" spans="1:44" ht="0.2" hidden="1" customHeight="1" x14ac:dyDescent="0.2">
      <c r="D31" s="253">
        <f ca="1">IF($Q29=2,IF(AND(ACOMPANHAMENTO="PLE",ISNUMBER($E29)),SUMIF((OFFSET(CÁLCULO!$DO$15:$FM$15,$E29,0,OFFSET(ORÇAMENTO!$D$15,CRONO!$E29,0))),"="&amp;CRONO!D$12,OFFSET(CÁLCULO!$BP$15:$DN$15,$E29,0,OFFSET(ORÇAMENTO!$D$15,CRONO!$E29,0)))+IF(AND($E31&lt;&gt;"",$E31&lt;&gt;0),SUMIF(CÁLCULO!$DO$15:$FM$33,"="&amp;CRONO!D$12,CÁLCULO!$BP$15:$DN$33)/(ORÇAMENTO!$X$15-CÁLCULO.TotalAdmLocal)*CRONO!$E31,0),D30*$R29),SUMIF(OFFSET($R31,1,0,$Q29-2),($L29+1)&amp;"$",OFFSET(D31,1,0,$Q29-2)))</f>
        <v>2072.8200000000002</v>
      </c>
      <c r="E31" s="234" t="str">
        <f ca="1">IF(OR($Q29&lt;&gt;2,AUTOEVENTO&lt;&gt;"manual",$E30&gt;0),"",SUMIF(OFFSET(CÁLCULO!$M$15,CRONO!$E29,0,OFFSET(ORÇAMENTO!$D$15,CRONO!$E29,0)),1,OFFSET(ORÇAMENTO!$X$15,CRONO!$E29,0,OFFSET(ORÇAMENTO!$D$15,CRONO!$E29,0))))</f>
        <v/>
      </c>
      <c r="G31" s="254"/>
      <c r="R31" s="255" t="str">
        <f ca="1">L29&amp;"$"</f>
        <v>2$</v>
      </c>
      <c r="S31" s="256"/>
      <c r="T31" s="257">
        <f ca="1">IF($Q29=2,IF(AND(ACOMPANHAMENTO="PLE",ISNUMBER($E29)),SUMIF((OFFSET(CÁLCULO!$DO$15:$FM$15,$E29,0,OFFSET(ORÇAMENTO!$D$15,CRONO!$E29,0))),"&lt;="&amp;CRONO!T$12,OFFSET(CÁLCULO!$BP$15:$DN$15,$E29,0,OFFSET(ORÇAMENTO!$D$15,CRONO!$E29,0)))+IF(AND($E31&lt;&gt;"",$E31&lt;&gt;0),SUMIF(CÁLCULO!$DO$15:$FM$33,"&lt;="&amp;CRONO!T$12,CÁLCULO!$BP$15:$DN$33)/(ORÇAMENTO!$X$15-CÁLCULO.TotalAdmLocal)*CRONO!$E31,0),T30*$R29),SUMIF(OFFSET($R31,1,0,$Q29-2),($L29+1)&amp;"$",OFFSET(T31,1,0,$Q29-2)))</f>
        <v>2072.8200000000002</v>
      </c>
      <c r="U31" s="253">
        <f ca="1">IF($Q29=2,IF(AND(ACOMPANHAMENTO="PLE",ISNUMBER($E29)),SUMIF((OFFSET(CÁLCULO!$DO$15:$FM$15,$E29,0,OFFSET(ORÇAMENTO!$D$15,CRONO!$E29,0))),"="&amp;CRONO!U$12,OFFSET(CÁLCULO!$BP$15:$DN$15,$E29,0,OFFSET(ORÇAMENTO!$D$15,CRONO!$E29,0)))+IF(AND($E31&lt;&gt;"",$E31&lt;&gt;0),SUMIF(CÁLCULO!$DO$15:$FM$33,"="&amp;CRONO!U$12,CÁLCULO!$BP$15:$DN$33)/(ORÇAMENTO!$X$15-CÁLCULO.TotalAdmLocal)*CRONO!$E31,0),U30*$R29),SUMIF(OFFSET($R31,1,0,$Q29-2),($L29+1)&amp;"$",OFFSET(U31,1,0,$Q29-2)))</f>
        <v>0</v>
      </c>
      <c r="V31" s="253">
        <f ca="1">IF($Q29=2,IF(AND(ACOMPANHAMENTO="PLE",ISNUMBER($E29)),SUMIF((OFFSET(CÁLCULO!$DO$15:$FM$15,$E29,0,OFFSET(ORÇAMENTO!$D$15,CRONO!$E29,0))),"="&amp;CRONO!V$12,OFFSET(CÁLCULO!$BP$15:$DN$15,$E29,0,OFFSET(ORÇAMENTO!$D$15,CRONO!$E29,0)))+IF(AND($E31&lt;&gt;"",$E31&lt;&gt;0),SUMIF(CÁLCULO!$DO$15:$FM$33,"="&amp;CRONO!V$12,CÁLCULO!$BP$15:$DN$33)/(ORÇAMENTO!$X$15-CÁLCULO.TotalAdmLocal)*CRONO!$E31,0),V30*$R29),SUMIF(OFFSET($R31,1,0,$Q29-2),($L29+1)&amp;"$",OFFSET(V31,1,0,$Q29-2)))</f>
        <v>3790.26</v>
      </c>
      <c r="W31" s="253">
        <f ca="1">IF($Q29=2,IF(AND(ACOMPANHAMENTO="PLE",ISNUMBER($E29)),SUMIF((OFFSET(CÁLCULO!$DO$15:$FM$15,$E29,0,OFFSET(ORÇAMENTO!$D$15,CRONO!$E29,0))),"="&amp;CRONO!W$12,OFFSET(CÁLCULO!$BP$15:$DN$15,$E29,0,OFFSET(ORÇAMENTO!$D$15,CRONO!$E29,0)))+IF(AND($E31&lt;&gt;"",$E31&lt;&gt;0),SUMIF(CÁLCULO!$DO$15:$FM$33,"="&amp;CRONO!W$12,CÁLCULO!$BP$15:$DN$33)/(ORÇAMENTO!$X$15-CÁLCULO.TotalAdmLocal)*CRONO!$E31,0),W30*$R29),SUMIF(OFFSET($R31,1,0,$Q29-2),($L29+1)&amp;"$",OFFSET(W31,1,0,$Q29-2)))</f>
        <v>0</v>
      </c>
      <c r="X31" s="253">
        <f ca="1">IF($Q29=2,IF(AND(ACOMPANHAMENTO="PLE",ISNUMBER($E29)),SUMIF((OFFSET(CÁLCULO!$DO$15:$FM$15,$E29,0,OFFSET(ORÇAMENTO!$D$15,CRONO!$E29,0))),"="&amp;CRONO!X$12,OFFSET(CÁLCULO!$BP$15:$DN$15,$E29,0,OFFSET(ORÇAMENTO!$D$15,CRONO!$E29,0)))+IF(AND($E31&lt;&gt;"",$E31&lt;&gt;0),SUMIF(CÁLCULO!$DO$15:$FM$33,"="&amp;CRONO!X$12,CÁLCULO!$BP$15:$DN$33)/(ORÇAMENTO!$X$15-CÁLCULO.TotalAdmLocal)*CRONO!$E31,0),X30*$R29),SUMIF(OFFSET($R31,1,0,$Q29-2),($L29+1)&amp;"$",OFFSET(X31,1,0,$Q29-2)))</f>
        <v>0</v>
      </c>
      <c r="Y31" s="253">
        <f ca="1">IF($Q29=2,IF(AND(ACOMPANHAMENTO="PLE",ISNUMBER($E29)),SUMIF((OFFSET(CÁLCULO!$DO$15:$FM$15,$E29,0,OFFSET(ORÇAMENTO!$D$15,CRONO!$E29,0))),"="&amp;CRONO!Y$12,OFFSET(CÁLCULO!$BP$15:$DN$15,$E29,0,OFFSET(ORÇAMENTO!$D$15,CRONO!$E29,0)))+IF(AND($E31&lt;&gt;"",$E31&lt;&gt;0),SUMIF(CÁLCULO!$DO$15:$FM$33,"="&amp;CRONO!Y$12,CÁLCULO!$BP$15:$DN$33)/(ORÇAMENTO!$X$15-CÁLCULO.TotalAdmLocal)*CRONO!$E31,0),Y30*$R29),SUMIF(OFFSET($R31,1,0,$Q29-2),($L29+1)&amp;"$",OFFSET(Y31,1,0,$Q29-2)))</f>
        <v>0</v>
      </c>
      <c r="Z31" s="253">
        <f ca="1">IF($Q29=2,IF(AND(ACOMPANHAMENTO="PLE",ISNUMBER($E29)),SUMIF((OFFSET(CÁLCULO!$DO$15:$FM$15,$E29,0,OFFSET(ORÇAMENTO!$D$15,CRONO!$E29,0))),"="&amp;CRONO!Z$12,OFFSET(CÁLCULO!$BP$15:$DN$15,$E29,0,OFFSET(ORÇAMENTO!$D$15,CRONO!$E29,0)))+IF(AND($E31&lt;&gt;"",$E31&lt;&gt;0),SUMIF(CÁLCULO!$DO$15:$FM$33,"="&amp;CRONO!Z$12,CÁLCULO!$BP$15:$DN$33)/(ORÇAMENTO!$X$15-CÁLCULO.TotalAdmLocal)*CRONO!$E31,0),Z30*$R29),SUMIF(OFFSET($R31,1,0,$Q29-2),($L29+1)&amp;"$",OFFSET(Z31,1,0,$Q29-2)))</f>
        <v>0</v>
      </c>
      <c r="AA31" s="253">
        <f ca="1">IF($Q29=2,IF(AND(ACOMPANHAMENTO="PLE",ISNUMBER($E29)),SUMIF((OFFSET(CÁLCULO!$DO$15:$FM$15,$E29,0,OFFSET(ORÇAMENTO!$D$15,CRONO!$E29,0))),"="&amp;CRONO!AA$12,OFFSET(CÁLCULO!$BP$15:$DN$15,$E29,0,OFFSET(ORÇAMENTO!$D$15,CRONO!$E29,0)))+IF(AND($E31&lt;&gt;"",$E31&lt;&gt;0),SUMIF(CÁLCULO!$DO$15:$FM$33,"="&amp;CRONO!AA$12,CÁLCULO!$BP$15:$DN$33)/(ORÇAMENTO!$X$15-CÁLCULO.TotalAdmLocal)*CRONO!$E31,0),AA30*$R29),SUMIF(OFFSET($R31,1,0,$Q29-2),($L29+1)&amp;"$",OFFSET(AA31,1,0,$Q29-2)))</f>
        <v>0</v>
      </c>
      <c r="AB31" s="253">
        <f ca="1">IF($Q29=2,IF(AND(ACOMPANHAMENTO="PLE",ISNUMBER($E29)),SUMIF((OFFSET(CÁLCULO!$DO$15:$FM$15,$E29,0,OFFSET(ORÇAMENTO!$D$15,CRONO!$E29,0))),"="&amp;CRONO!AB$12,OFFSET(CÁLCULO!$BP$15:$DN$15,$E29,0,OFFSET(ORÇAMENTO!$D$15,CRONO!$E29,0)))+IF(AND($E31&lt;&gt;"",$E31&lt;&gt;0),SUMIF(CÁLCULO!$DO$15:$FM$33,"="&amp;CRONO!AB$12,CÁLCULO!$BP$15:$DN$33)/(ORÇAMENTO!$X$15-CÁLCULO.TotalAdmLocal)*CRONO!$E31,0),AB30*$R29),SUMIF(OFFSET($R31,1,0,$Q29-2),($L29+1)&amp;"$",OFFSET(AB31,1,0,$Q29-2)))</f>
        <v>0</v>
      </c>
      <c r="AC31" s="253">
        <f ca="1">IF($Q29=2,IF(AND(ACOMPANHAMENTO="PLE",ISNUMBER($E29)),SUMIF((OFFSET(CÁLCULO!$DO$15:$FM$15,$E29,0,OFFSET(ORÇAMENTO!$D$15,CRONO!$E29,0))),"="&amp;CRONO!AC$12,OFFSET(CÁLCULO!$BP$15:$DN$15,$E29,0,OFFSET(ORÇAMENTO!$D$15,CRONO!$E29,0)))+IF(AND($E31&lt;&gt;"",$E31&lt;&gt;0),SUMIF(CÁLCULO!$DO$15:$FM$33,"="&amp;CRONO!AC$12,CÁLCULO!$BP$15:$DN$33)/(ORÇAMENTO!$X$15-CÁLCULO.TotalAdmLocal)*CRONO!$E31,0),AC30*$R29),SUMIF(OFFSET($R31,1,0,$Q29-2),($L29+1)&amp;"$",OFFSET(AC31,1,0,$Q29-2)))</f>
        <v>0</v>
      </c>
      <c r="AD31" s="253">
        <f ca="1">IF($Q29=2,IF(AND(ACOMPANHAMENTO="PLE",ISNUMBER($E29)),SUMIF((OFFSET(CÁLCULO!$DO$15:$FM$15,$E29,0,OFFSET(ORÇAMENTO!$D$15,CRONO!$E29,0))),"="&amp;CRONO!AD$12,OFFSET(CÁLCULO!$BP$15:$DN$15,$E29,0,OFFSET(ORÇAMENTO!$D$15,CRONO!$E29,0)))+IF(AND($E31&lt;&gt;"",$E31&lt;&gt;0),SUMIF(CÁLCULO!$DO$15:$FM$33,"="&amp;CRONO!AD$12,CÁLCULO!$BP$15:$DN$33)/(ORÇAMENTO!$X$15-CÁLCULO.TotalAdmLocal)*CRONO!$E31,0),AD30*$R29),SUMIF(OFFSET($R31,1,0,$Q29-2),($L29+1)&amp;"$",OFFSET(AD31,1,0,$Q29-2)))</f>
        <v>0</v>
      </c>
      <c r="AE31" s="258">
        <f ca="1">IF($Q29=2,IF(AND(ACOMPANHAMENTO="PLE",ISNUMBER($E29)),SUMIF((OFFSET(CÁLCULO!$DO$15:$FM$15,$E29,0,OFFSET(ORÇAMENTO!$D$15,CRONO!$E29,0))),"="&amp;CRONO!AE$12,OFFSET(CÁLCULO!$BP$15:$DN$15,$E29,0,OFFSET(ORÇAMENTO!$D$15,CRONO!$E29,0)))+IF(AND($E31&lt;&gt;"",$E31&lt;&gt;0),SUMIF(CÁLCULO!$DO$15:$FM$33,"="&amp;CRONO!AE$12,CÁLCULO!$BP$15:$DN$33)/(ORÇAMENTO!$X$15-CÁLCULO.TotalAdmLocal)*CRONO!$E31,0),AE30*$R29),SUMIF(OFFSET($R31,1,0,$Q29-2),($L29+1)&amp;"$",OFFSET(AE31,1,0,$Q29-2)))</f>
        <v>0</v>
      </c>
      <c r="AF31" s="257">
        <f ca="1">IF($Q29=2,IF(AND(ACOMPANHAMENTO="PLE",ISNUMBER($E29)),SUMIF((OFFSET(CÁLCULO!$DO$15:$FM$15,$E29,0,OFFSET(ORÇAMENTO!$D$15,CRONO!$E29,0))),"&lt;="&amp;CRONO!AF$12,OFFSET(CÁLCULO!$BP$15:$DN$15,$E29,0,OFFSET(ORÇAMENTO!$D$15,CRONO!$E29,0)))+IF(AND($E31&lt;&gt;"",$E31&lt;&gt;0),SUMIF(CÁLCULO!$DO$15:$FM$33,"&lt;="&amp;CRONO!AF$12,CÁLCULO!$BP$15:$DN$33)/(ORÇAMENTO!$X$15-CÁLCULO.TotalAdmLocal)*CRONO!$E31,0),AF30*$R29),SUMIF(OFFSET($R31,1,0,$Q29-2),($L29+1)&amp;"$",OFFSET(AF31,1,0,$Q29-2)))</f>
        <v>5863.08</v>
      </c>
      <c r="AG31" s="253">
        <f ca="1">IF($Q29=2,IF(AND(ACOMPANHAMENTO="PLE",ISNUMBER($E29)),SUMIF((OFFSET(CÁLCULO!$DO$15:$FM$15,$E29,0,OFFSET(ORÇAMENTO!$D$15,CRONO!$E29,0))),"="&amp;CRONO!AG$12,OFFSET(CÁLCULO!$BP$15:$DN$15,$E29,0,OFFSET(ORÇAMENTO!$D$15,CRONO!$E29,0)))+IF(AND($E31&lt;&gt;"",$E31&lt;&gt;0),SUMIF(CÁLCULO!$DO$15:$FM$33,"="&amp;CRONO!AG$12,CÁLCULO!$BP$15:$DN$33)/(ORÇAMENTO!$X$15-CÁLCULO.TotalAdmLocal)*CRONO!$E31,0),AG30*$R29),SUMIF(OFFSET($R31,1,0,$Q29-2),($L29+1)&amp;"$",OFFSET(AG31,1,0,$Q29-2)))</f>
        <v>0</v>
      </c>
      <c r="AH31" s="253">
        <f ca="1">IF($Q29=2,IF(AND(ACOMPANHAMENTO="PLE",ISNUMBER($E29)),SUMIF((OFFSET(CÁLCULO!$DO$15:$FM$15,$E29,0,OFFSET(ORÇAMENTO!$D$15,CRONO!$E29,0))),"="&amp;CRONO!AH$12,OFFSET(CÁLCULO!$BP$15:$DN$15,$E29,0,OFFSET(ORÇAMENTO!$D$15,CRONO!$E29,0)))+IF(AND($E31&lt;&gt;"",$E31&lt;&gt;0),SUMIF(CÁLCULO!$DO$15:$FM$33,"="&amp;CRONO!AH$12,CÁLCULO!$BP$15:$DN$33)/(ORÇAMENTO!$X$15-CÁLCULO.TotalAdmLocal)*CRONO!$E31,0),AH30*$R29),SUMIF(OFFSET($R31,1,0,$Q29-2),($L29+1)&amp;"$",OFFSET(AH31,1,0,$Q29-2)))</f>
        <v>0</v>
      </c>
      <c r="AI31" s="253">
        <f ca="1">IF($Q29=2,IF(AND(ACOMPANHAMENTO="PLE",ISNUMBER($E29)),SUMIF((OFFSET(CÁLCULO!$DO$15:$FM$15,$E29,0,OFFSET(ORÇAMENTO!$D$15,CRONO!$E29,0))),"="&amp;CRONO!AI$12,OFFSET(CÁLCULO!$BP$15:$DN$15,$E29,0,OFFSET(ORÇAMENTO!$D$15,CRONO!$E29,0)))+IF(AND($E31&lt;&gt;"",$E31&lt;&gt;0),SUMIF(CÁLCULO!$DO$15:$FM$33,"="&amp;CRONO!AI$12,CÁLCULO!$BP$15:$DN$33)/(ORÇAMENTO!$X$15-CÁLCULO.TotalAdmLocal)*CRONO!$E31,0),AI30*$R29),SUMIF(OFFSET($R31,1,0,$Q29-2),($L29+1)&amp;"$",OFFSET(AI31,1,0,$Q29-2)))</f>
        <v>0</v>
      </c>
      <c r="AJ31" s="253">
        <f ca="1">IF($Q29=2,IF(AND(ACOMPANHAMENTO="PLE",ISNUMBER($E29)),SUMIF((OFFSET(CÁLCULO!$DO$15:$FM$15,$E29,0,OFFSET(ORÇAMENTO!$D$15,CRONO!$E29,0))),"="&amp;CRONO!AJ$12,OFFSET(CÁLCULO!$BP$15:$DN$15,$E29,0,OFFSET(ORÇAMENTO!$D$15,CRONO!$E29,0)))+IF(AND($E31&lt;&gt;"",$E31&lt;&gt;0),SUMIF(CÁLCULO!$DO$15:$FM$33,"="&amp;CRONO!AJ$12,CÁLCULO!$BP$15:$DN$33)/(ORÇAMENTO!$X$15-CÁLCULO.TotalAdmLocal)*CRONO!$E31,0),AJ30*$R29),SUMIF(OFFSET($R31,1,0,$Q29-2),($L29+1)&amp;"$",OFFSET(AJ31,1,0,$Q29-2)))</f>
        <v>0</v>
      </c>
      <c r="AK31" s="253">
        <f ca="1">IF($Q29=2,IF(AND(ACOMPANHAMENTO="PLE",ISNUMBER($E29)),SUMIF((OFFSET(CÁLCULO!$DO$15:$FM$15,$E29,0,OFFSET(ORÇAMENTO!$D$15,CRONO!$E29,0))),"="&amp;CRONO!AK$12,OFFSET(CÁLCULO!$BP$15:$DN$15,$E29,0,OFFSET(ORÇAMENTO!$D$15,CRONO!$E29,0)))+IF(AND($E31&lt;&gt;"",$E31&lt;&gt;0),SUMIF(CÁLCULO!$DO$15:$FM$33,"="&amp;CRONO!AK$12,CÁLCULO!$BP$15:$DN$33)/(ORÇAMENTO!$X$15-CÁLCULO.TotalAdmLocal)*CRONO!$E31,0),AK30*$R29),SUMIF(OFFSET($R31,1,0,$Q29-2),($L29+1)&amp;"$",OFFSET(AK31,1,0,$Q29-2)))</f>
        <v>0</v>
      </c>
      <c r="AL31" s="253">
        <f ca="1">IF($Q29=2,IF(AND(ACOMPANHAMENTO="PLE",ISNUMBER($E29)),SUMIF((OFFSET(CÁLCULO!$DO$15:$FM$15,$E29,0,OFFSET(ORÇAMENTO!$D$15,CRONO!$E29,0))),"="&amp;CRONO!AL$12,OFFSET(CÁLCULO!$BP$15:$DN$15,$E29,0,OFFSET(ORÇAMENTO!$D$15,CRONO!$E29,0)))+IF(AND($E31&lt;&gt;"",$E31&lt;&gt;0),SUMIF(CÁLCULO!$DO$15:$FM$33,"="&amp;CRONO!AL$12,CÁLCULO!$BP$15:$DN$33)/(ORÇAMENTO!$X$15-CÁLCULO.TotalAdmLocal)*CRONO!$E31,0),AL30*$R29),SUMIF(OFFSET($R31,1,0,$Q29-2),($L29+1)&amp;"$",OFFSET(AL31,1,0,$Q29-2)))</f>
        <v>0</v>
      </c>
      <c r="AM31" s="253">
        <f ca="1">IF($Q29=2,IF(AND(ACOMPANHAMENTO="PLE",ISNUMBER($E29)),SUMIF((OFFSET(CÁLCULO!$DO$15:$FM$15,$E29,0,OFFSET(ORÇAMENTO!$D$15,CRONO!$E29,0))),"="&amp;CRONO!AM$12,OFFSET(CÁLCULO!$BP$15:$DN$15,$E29,0,OFFSET(ORÇAMENTO!$D$15,CRONO!$E29,0)))+IF(AND($E31&lt;&gt;"",$E31&lt;&gt;0),SUMIF(CÁLCULO!$DO$15:$FM$33,"="&amp;CRONO!AM$12,CÁLCULO!$BP$15:$DN$33)/(ORÇAMENTO!$X$15-CÁLCULO.TotalAdmLocal)*CRONO!$E31,0),AM30*$R29),SUMIF(OFFSET($R31,1,0,$Q29-2),($L29+1)&amp;"$",OFFSET(AM31,1,0,$Q29-2)))</f>
        <v>0</v>
      </c>
      <c r="AN31" s="253">
        <f ca="1">IF($Q29=2,IF(AND(ACOMPANHAMENTO="PLE",ISNUMBER($E29)),SUMIF((OFFSET(CÁLCULO!$DO$15:$FM$15,$E29,0,OFFSET(ORÇAMENTO!$D$15,CRONO!$E29,0))),"="&amp;CRONO!AN$12,OFFSET(CÁLCULO!$BP$15:$DN$15,$E29,0,OFFSET(ORÇAMENTO!$D$15,CRONO!$E29,0)))+IF(AND($E31&lt;&gt;"",$E31&lt;&gt;0),SUMIF(CÁLCULO!$DO$15:$FM$33,"="&amp;CRONO!AN$12,CÁLCULO!$BP$15:$DN$33)/(ORÇAMENTO!$X$15-CÁLCULO.TotalAdmLocal)*CRONO!$E31,0),AN30*$R29),SUMIF(OFFSET($R31,1,0,$Q29-2),($L29+1)&amp;"$",OFFSET(AN31,1,0,$Q29-2)))</f>
        <v>0</v>
      </c>
      <c r="AO31" s="253">
        <f ca="1">IF($Q29=2,IF(AND(ACOMPANHAMENTO="PLE",ISNUMBER($E29)),SUMIF((OFFSET(CÁLCULO!$DO$15:$FM$15,$E29,0,OFFSET(ORÇAMENTO!$D$15,CRONO!$E29,0))),"="&amp;CRONO!AO$12,OFFSET(CÁLCULO!$BP$15:$DN$15,$E29,0,OFFSET(ORÇAMENTO!$D$15,CRONO!$E29,0)))+IF(AND($E31&lt;&gt;"",$E31&lt;&gt;0),SUMIF(CÁLCULO!$DO$15:$FM$33,"="&amp;CRONO!AO$12,CÁLCULO!$BP$15:$DN$33)/(ORÇAMENTO!$X$15-CÁLCULO.TotalAdmLocal)*CRONO!$E31,0),AO30*$R29),SUMIF(OFFSET($R31,1,0,$Q29-2),($L29+1)&amp;"$",OFFSET(AO31,1,0,$Q29-2)))</f>
        <v>0</v>
      </c>
      <c r="AP31" s="253">
        <f ca="1">IF($Q29=2,IF(AND(ACOMPANHAMENTO="PLE",ISNUMBER($E29)),SUMIF((OFFSET(CÁLCULO!$DO$15:$FM$15,$E29,0,OFFSET(ORÇAMENTO!$D$15,CRONO!$E29,0))),"="&amp;CRONO!AP$12,OFFSET(CÁLCULO!$BP$15:$DN$15,$E29,0,OFFSET(ORÇAMENTO!$D$15,CRONO!$E29,0)))+IF(AND($E31&lt;&gt;"",$E31&lt;&gt;0),SUMIF(CÁLCULO!$DO$15:$FM$33,"="&amp;CRONO!AP$12,CÁLCULO!$BP$15:$DN$33)/(ORÇAMENTO!$X$15-CÁLCULO.TotalAdmLocal)*CRONO!$E31,0),AP30*$R29),SUMIF(OFFSET($R31,1,0,$Q29-2),($L29+1)&amp;"$",OFFSET(AP31,1,0,$Q29-2)))</f>
        <v>0</v>
      </c>
      <c r="AQ31" s="258">
        <f ca="1">IF($Q29=2,IF(AND(ACOMPANHAMENTO="PLE",ISNUMBER($E29)),SUMIF((OFFSET(CÁLCULO!$DO$15:$FM$15,$E29,0,OFFSET(ORÇAMENTO!$D$15,CRONO!$E29,0))),"="&amp;CRONO!AQ$12,OFFSET(CÁLCULO!$BP$15:$DN$15,$E29,0,OFFSET(ORÇAMENTO!$D$15,CRONO!$E29,0)))+IF(AND($E31&lt;&gt;"",$E31&lt;&gt;0),SUMIF(CÁLCULO!$DO$15:$FM$33,"="&amp;CRONO!AQ$12,CÁLCULO!$BP$15:$DN$33)/(ORÇAMENTO!$X$15-CÁLCULO.TotalAdmLocal)*CRONO!$E31,0),AQ30*$R29),SUMIF(OFFSET($R31,1,0,$Q29-2),($L29+1)&amp;"$",OFFSET(AQ31,1,0,$Q29-2)))</f>
        <v>0</v>
      </c>
    </row>
    <row r="32" spans="1:44" ht="5.0999999999999996" customHeight="1" x14ac:dyDescent="0.2">
      <c r="D32" s="579"/>
      <c r="F32" s="234" t="s">
        <v>248</v>
      </c>
      <c r="G32" s="581"/>
      <c r="H32" s="582"/>
      <c r="I32" s="583"/>
      <c r="J32" s="583"/>
      <c r="K32" s="583"/>
      <c r="L32" s="584" t="s">
        <v>283</v>
      </c>
      <c r="M32" s="584"/>
      <c r="N32" s="584"/>
      <c r="O32" s="584"/>
      <c r="P32" s="584"/>
      <c r="Q32" s="584"/>
      <c r="R32" s="585"/>
      <c r="S32" s="585"/>
      <c r="T32" s="583"/>
      <c r="U32" s="583"/>
      <c r="V32" s="583"/>
      <c r="W32" s="583"/>
      <c r="X32" s="583"/>
      <c r="Y32" s="583"/>
      <c r="Z32" s="583"/>
      <c r="AA32" s="583"/>
      <c r="AB32" s="583"/>
      <c r="AC32" s="583"/>
      <c r="AD32" s="583"/>
      <c r="AE32" s="586"/>
      <c r="AF32" s="583"/>
      <c r="AG32" s="583"/>
      <c r="AH32" s="583"/>
      <c r="AI32" s="583"/>
      <c r="AJ32" s="583"/>
      <c r="AK32" s="583"/>
      <c r="AL32" s="583"/>
      <c r="AM32" s="583"/>
      <c r="AN32" s="583"/>
      <c r="AO32" s="583"/>
      <c r="AP32" s="583"/>
      <c r="AQ32" s="586"/>
      <c r="AR32" s="580"/>
    </row>
    <row r="33" spans="4:44" ht="12.75" customHeight="1" x14ac:dyDescent="0.2">
      <c r="D33" s="285">
        <f ca="1">D37/$Q$33</f>
        <v>0.39044379842223587</v>
      </c>
      <c r="F33" s="234" t="s">
        <v>248</v>
      </c>
      <c r="H33" s="749" t="str">
        <f ca="1">"Total:    R$ "&amp;TEXT(Q33,"#.##0,00")</f>
        <v>Total:    R$ 501.148,52</v>
      </c>
      <c r="I33" s="749"/>
      <c r="J33" s="749"/>
      <c r="K33" s="286"/>
      <c r="Q33" s="287">
        <f ca="1">SUMIF(L12:L32,1,R12:R32)</f>
        <v>501148.51558840001</v>
      </c>
      <c r="R33" s="288"/>
      <c r="S33" s="289" t="s">
        <v>284</v>
      </c>
      <c r="T33" s="290">
        <f t="shared" ref="T33:AE33" ca="1" si="10">ROUND(T37,2)/$Q$33</f>
        <v>0.39044379842223587</v>
      </c>
      <c r="U33" s="291">
        <f t="shared" ca="1" si="10"/>
        <v>0.34747196606089414</v>
      </c>
      <c r="V33" s="291">
        <f t="shared" ca="1" si="10"/>
        <v>0.26208424431984922</v>
      </c>
      <c r="W33" s="291">
        <f t="shared" ca="1" si="10"/>
        <v>0</v>
      </c>
      <c r="X33" s="291">
        <f t="shared" ca="1" si="10"/>
        <v>0</v>
      </c>
      <c r="Y33" s="291">
        <f t="shared" ca="1" si="10"/>
        <v>0</v>
      </c>
      <c r="Z33" s="291">
        <f t="shared" ca="1" si="10"/>
        <v>0</v>
      </c>
      <c r="AA33" s="291">
        <f t="shared" ca="1" si="10"/>
        <v>0</v>
      </c>
      <c r="AB33" s="291">
        <f t="shared" ca="1" si="10"/>
        <v>0</v>
      </c>
      <c r="AC33" s="291">
        <f t="shared" ca="1" si="10"/>
        <v>0</v>
      </c>
      <c r="AD33" s="291">
        <f t="shared" ca="1" si="10"/>
        <v>0</v>
      </c>
      <c r="AE33" s="292">
        <f t="shared" ca="1" si="10"/>
        <v>0</v>
      </c>
      <c r="AF33" s="290">
        <f t="shared" ref="AF33:AQ33" ca="1" si="11">AF37/$Q$33</f>
        <v>1.1699286374451489E-2</v>
      </c>
      <c r="AG33" s="291">
        <f t="shared" ca="1" si="11"/>
        <v>0</v>
      </c>
      <c r="AH33" s="291">
        <f t="shared" ca="1" si="11"/>
        <v>0</v>
      </c>
      <c r="AI33" s="291">
        <f t="shared" ca="1" si="11"/>
        <v>0</v>
      </c>
      <c r="AJ33" s="291">
        <f t="shared" ca="1" si="11"/>
        <v>0</v>
      </c>
      <c r="AK33" s="291">
        <f t="shared" ca="1" si="11"/>
        <v>0</v>
      </c>
      <c r="AL33" s="291">
        <f t="shared" ca="1" si="11"/>
        <v>0</v>
      </c>
      <c r="AM33" s="291">
        <f t="shared" ca="1" si="11"/>
        <v>0</v>
      </c>
      <c r="AN33" s="291">
        <f t="shared" ca="1" si="11"/>
        <v>0</v>
      </c>
      <c r="AO33" s="291">
        <f t="shared" ca="1" si="11"/>
        <v>0</v>
      </c>
      <c r="AP33" s="291">
        <f t="shared" ca="1" si="11"/>
        <v>0</v>
      </c>
      <c r="AQ33" s="292">
        <f t="shared" ca="1" si="11"/>
        <v>0</v>
      </c>
    </row>
    <row r="34" spans="4:44" ht="15" customHeight="1" x14ac:dyDescent="0.2">
      <c r="D34" s="293">
        <f ca="1">ROUND(D39,2)-ROUND(C39,2)</f>
        <v>187844.07</v>
      </c>
      <c r="F34" s="234" t="s">
        <v>248</v>
      </c>
      <c r="H34" s="749"/>
      <c r="I34" s="749"/>
      <c r="J34" s="749"/>
      <c r="K34" s="294"/>
      <c r="Q34" s="287"/>
      <c r="R34" s="295"/>
      <c r="S34" s="296" t="str">
        <f>IF(import.recurso="FGTS","Financiamento:","Repasse:")</f>
        <v>Repasse:</v>
      </c>
      <c r="T34" s="297">
        <f ca="1">ROUND(T39,2)</f>
        <v>187844.07</v>
      </c>
      <c r="U34" s="293">
        <f t="shared" ref="U34:AQ34" ca="1" si="12">ROUND(U39,2)-ROUND(T39,2)</f>
        <v>167170.14999999997</v>
      </c>
      <c r="V34" s="293">
        <f t="shared" ca="1" si="12"/>
        <v>126089.78000000003</v>
      </c>
      <c r="W34" s="293">
        <f t="shared" ca="1" si="12"/>
        <v>0</v>
      </c>
      <c r="X34" s="293">
        <f t="shared" ca="1" si="12"/>
        <v>0</v>
      </c>
      <c r="Y34" s="293">
        <f t="shared" ca="1" si="12"/>
        <v>0</v>
      </c>
      <c r="Z34" s="293">
        <f t="shared" ca="1" si="12"/>
        <v>0</v>
      </c>
      <c r="AA34" s="293">
        <f t="shared" ca="1" si="12"/>
        <v>0</v>
      </c>
      <c r="AB34" s="293">
        <f t="shared" ca="1" si="12"/>
        <v>0</v>
      </c>
      <c r="AC34" s="293">
        <f t="shared" ca="1" si="12"/>
        <v>0</v>
      </c>
      <c r="AD34" s="293">
        <f t="shared" ca="1" si="12"/>
        <v>0</v>
      </c>
      <c r="AE34" s="298">
        <f t="shared" ca="1" si="12"/>
        <v>0</v>
      </c>
      <c r="AF34" s="297">
        <f t="shared" ca="1" si="12"/>
        <v>5628.570000000007</v>
      </c>
      <c r="AG34" s="293">
        <f t="shared" ca="1" si="12"/>
        <v>0</v>
      </c>
      <c r="AH34" s="293">
        <f t="shared" ca="1" si="12"/>
        <v>0</v>
      </c>
      <c r="AI34" s="293">
        <f t="shared" ca="1" si="12"/>
        <v>0</v>
      </c>
      <c r="AJ34" s="293">
        <f t="shared" ca="1" si="12"/>
        <v>0</v>
      </c>
      <c r="AK34" s="293">
        <f t="shared" ca="1" si="12"/>
        <v>0</v>
      </c>
      <c r="AL34" s="293">
        <f t="shared" ca="1" si="12"/>
        <v>0</v>
      </c>
      <c r="AM34" s="293">
        <f t="shared" ca="1" si="12"/>
        <v>0</v>
      </c>
      <c r="AN34" s="293">
        <f t="shared" ca="1" si="12"/>
        <v>0</v>
      </c>
      <c r="AO34" s="293">
        <f t="shared" ca="1" si="12"/>
        <v>0</v>
      </c>
      <c r="AP34" s="293">
        <f t="shared" ca="1" si="12"/>
        <v>0</v>
      </c>
      <c r="AQ34" s="298">
        <f t="shared" ca="1" si="12"/>
        <v>0</v>
      </c>
    </row>
    <row r="35" spans="4:44" ht="12.75" customHeight="1" x14ac:dyDescent="0.2">
      <c r="D35" s="293">
        <f ca="1">ROUND(D40,2)-ROUND(C40,2)</f>
        <v>7826.26</v>
      </c>
      <c r="F35" s="234" t="s">
        <v>248</v>
      </c>
      <c r="H35" s="299"/>
      <c r="K35" s="300" t="s">
        <v>285</v>
      </c>
      <c r="Q35" s="287"/>
      <c r="R35" s="301"/>
      <c r="S35" s="302" t="s">
        <v>286</v>
      </c>
      <c r="T35" s="303">
        <f ca="1">ROUND(T40,2)</f>
        <v>7826.26</v>
      </c>
      <c r="U35" s="304">
        <f t="shared" ref="U35:AQ35" ca="1" si="13">ROUND(U40,2)-ROUND(T40,2)</f>
        <v>6964.9</v>
      </c>
      <c r="V35" s="304">
        <f t="shared" ca="1" si="13"/>
        <v>5253.3600000000006</v>
      </c>
      <c r="W35" s="304">
        <f t="shared" ca="1" si="13"/>
        <v>0</v>
      </c>
      <c r="X35" s="304">
        <f t="shared" ca="1" si="13"/>
        <v>0</v>
      </c>
      <c r="Y35" s="304">
        <f t="shared" ca="1" si="13"/>
        <v>0</v>
      </c>
      <c r="Z35" s="304">
        <f t="shared" ca="1" si="13"/>
        <v>0</v>
      </c>
      <c r="AA35" s="304">
        <f t="shared" ca="1" si="13"/>
        <v>0</v>
      </c>
      <c r="AB35" s="304">
        <f t="shared" ca="1" si="13"/>
        <v>0</v>
      </c>
      <c r="AC35" s="304">
        <f t="shared" ca="1" si="13"/>
        <v>0</v>
      </c>
      <c r="AD35" s="304">
        <f t="shared" ca="1" si="13"/>
        <v>0</v>
      </c>
      <c r="AE35" s="305">
        <f t="shared" ca="1" si="13"/>
        <v>0</v>
      </c>
      <c r="AF35" s="303">
        <f t="shared" ca="1" si="13"/>
        <v>234.5</v>
      </c>
      <c r="AG35" s="304">
        <f t="shared" ca="1" si="13"/>
        <v>0</v>
      </c>
      <c r="AH35" s="304">
        <f t="shared" ca="1" si="13"/>
        <v>0</v>
      </c>
      <c r="AI35" s="304">
        <f t="shared" ca="1" si="13"/>
        <v>0</v>
      </c>
      <c r="AJ35" s="304">
        <f t="shared" ca="1" si="13"/>
        <v>0</v>
      </c>
      <c r="AK35" s="304">
        <f t="shared" ca="1" si="13"/>
        <v>0</v>
      </c>
      <c r="AL35" s="304">
        <f t="shared" ca="1" si="13"/>
        <v>0</v>
      </c>
      <c r="AM35" s="304">
        <f t="shared" ca="1" si="13"/>
        <v>0</v>
      </c>
      <c r="AN35" s="304">
        <f t="shared" ca="1" si="13"/>
        <v>0</v>
      </c>
      <c r="AO35" s="304">
        <f t="shared" ca="1" si="13"/>
        <v>0</v>
      </c>
      <c r="AP35" s="304">
        <f t="shared" ca="1" si="13"/>
        <v>0</v>
      </c>
      <c r="AQ35" s="305">
        <f t="shared" ca="1" si="13"/>
        <v>0</v>
      </c>
    </row>
    <row r="36" spans="4:44" x14ac:dyDescent="0.2">
      <c r="D36" s="306">
        <f ca="1">ROUND(D41,2)-ROUND(C41,2)</f>
        <v>0</v>
      </c>
      <c r="F36" s="234" t="s">
        <v>248</v>
      </c>
      <c r="H36" s="299"/>
      <c r="K36" s="300"/>
      <c r="Q36" s="287"/>
      <c r="R36" s="307"/>
      <c r="S36" s="308" t="s">
        <v>287</v>
      </c>
      <c r="T36" s="309">
        <f ca="1">ROUND(T41,2)</f>
        <v>0</v>
      </c>
      <c r="U36" s="306">
        <f t="shared" ref="U36:AQ36" ca="1" si="14">ROUND(U41,2)-ROUND(T41,2)</f>
        <v>0</v>
      </c>
      <c r="V36" s="306">
        <f t="shared" ca="1" si="14"/>
        <v>0</v>
      </c>
      <c r="W36" s="306">
        <f t="shared" ca="1" si="14"/>
        <v>0</v>
      </c>
      <c r="X36" s="306">
        <f t="shared" ca="1" si="14"/>
        <v>0</v>
      </c>
      <c r="Y36" s="306">
        <f t="shared" ca="1" si="14"/>
        <v>0</v>
      </c>
      <c r="Z36" s="306">
        <f t="shared" ca="1" si="14"/>
        <v>0</v>
      </c>
      <c r="AA36" s="306">
        <f t="shared" ca="1" si="14"/>
        <v>0</v>
      </c>
      <c r="AB36" s="306">
        <f t="shared" ca="1" si="14"/>
        <v>0</v>
      </c>
      <c r="AC36" s="306">
        <f t="shared" ca="1" si="14"/>
        <v>0</v>
      </c>
      <c r="AD36" s="306">
        <f t="shared" ca="1" si="14"/>
        <v>0</v>
      </c>
      <c r="AE36" s="310">
        <f t="shared" ca="1" si="14"/>
        <v>0</v>
      </c>
      <c r="AF36" s="309">
        <f t="shared" ca="1" si="14"/>
        <v>0</v>
      </c>
      <c r="AG36" s="306">
        <f t="shared" ca="1" si="14"/>
        <v>0</v>
      </c>
      <c r="AH36" s="306">
        <f t="shared" ca="1" si="14"/>
        <v>0</v>
      </c>
      <c r="AI36" s="306">
        <f t="shared" ca="1" si="14"/>
        <v>0</v>
      </c>
      <c r="AJ36" s="306">
        <f t="shared" ca="1" si="14"/>
        <v>0</v>
      </c>
      <c r="AK36" s="306">
        <f t="shared" ca="1" si="14"/>
        <v>0</v>
      </c>
      <c r="AL36" s="306">
        <f t="shared" ca="1" si="14"/>
        <v>0</v>
      </c>
      <c r="AM36" s="306">
        <f t="shared" ca="1" si="14"/>
        <v>0</v>
      </c>
      <c r="AN36" s="306">
        <f t="shared" ca="1" si="14"/>
        <v>0</v>
      </c>
      <c r="AO36" s="306">
        <f t="shared" ca="1" si="14"/>
        <v>0</v>
      </c>
      <c r="AP36" s="306">
        <f t="shared" ca="1" si="14"/>
        <v>0</v>
      </c>
      <c r="AQ36" s="310">
        <f t="shared" ca="1" si="14"/>
        <v>0</v>
      </c>
    </row>
    <row r="37" spans="4:44" x14ac:dyDescent="0.2">
      <c r="D37" s="311">
        <f ca="1">ROUND(D42,2)-ROUND(C42,2)</f>
        <v>195670.33</v>
      </c>
      <c r="F37" s="234" t="s">
        <v>248</v>
      </c>
      <c r="K37" s="312"/>
      <c r="R37" s="313"/>
      <c r="S37" s="314" t="s">
        <v>288</v>
      </c>
      <c r="T37" s="315">
        <f ca="1">ROUND(T42,2)</f>
        <v>195670.33</v>
      </c>
      <c r="U37" s="316">
        <f t="shared" ref="U37:AQ37" ca="1" si="15">ROUND(U42,2)-ROUND(T42,2)</f>
        <v>174135.06000000003</v>
      </c>
      <c r="V37" s="316">
        <f t="shared" ca="1" si="15"/>
        <v>131343.13</v>
      </c>
      <c r="W37" s="316">
        <f t="shared" ca="1" si="15"/>
        <v>0</v>
      </c>
      <c r="X37" s="316">
        <f t="shared" ca="1" si="15"/>
        <v>0</v>
      </c>
      <c r="Y37" s="316">
        <f t="shared" ca="1" si="15"/>
        <v>0</v>
      </c>
      <c r="Z37" s="316">
        <f t="shared" ca="1" si="15"/>
        <v>0</v>
      </c>
      <c r="AA37" s="316">
        <f t="shared" ca="1" si="15"/>
        <v>0</v>
      </c>
      <c r="AB37" s="316">
        <f t="shared" ca="1" si="15"/>
        <v>0</v>
      </c>
      <c r="AC37" s="316">
        <f t="shared" ca="1" si="15"/>
        <v>0</v>
      </c>
      <c r="AD37" s="316">
        <f t="shared" ca="1" si="15"/>
        <v>0</v>
      </c>
      <c r="AE37" s="317">
        <f t="shared" ca="1" si="15"/>
        <v>0</v>
      </c>
      <c r="AF37" s="315">
        <f t="shared" ca="1" si="15"/>
        <v>5863.0799999999581</v>
      </c>
      <c r="AG37" s="316">
        <f t="shared" ca="1" si="15"/>
        <v>0</v>
      </c>
      <c r="AH37" s="316">
        <f t="shared" ca="1" si="15"/>
        <v>0</v>
      </c>
      <c r="AI37" s="316">
        <f t="shared" ca="1" si="15"/>
        <v>0</v>
      </c>
      <c r="AJ37" s="316">
        <f t="shared" ca="1" si="15"/>
        <v>0</v>
      </c>
      <c r="AK37" s="316">
        <f t="shared" ca="1" si="15"/>
        <v>0</v>
      </c>
      <c r="AL37" s="316">
        <f t="shared" ca="1" si="15"/>
        <v>0</v>
      </c>
      <c r="AM37" s="316">
        <f t="shared" ca="1" si="15"/>
        <v>0</v>
      </c>
      <c r="AN37" s="316">
        <f t="shared" ca="1" si="15"/>
        <v>0</v>
      </c>
      <c r="AO37" s="316">
        <f t="shared" ca="1" si="15"/>
        <v>0</v>
      </c>
      <c r="AP37" s="316">
        <f t="shared" ca="1" si="15"/>
        <v>0</v>
      </c>
      <c r="AQ37" s="317">
        <f t="shared" ca="1" si="15"/>
        <v>0</v>
      </c>
    </row>
    <row r="38" spans="4:44" x14ac:dyDescent="0.2">
      <c r="D38" s="285">
        <f ca="1">D42/$Q$33</f>
        <v>0.39044379036358179</v>
      </c>
      <c r="F38" s="234" t="s">
        <v>248</v>
      </c>
      <c r="K38" s="286"/>
      <c r="R38" s="288"/>
      <c r="S38" s="289" t="s">
        <v>284</v>
      </c>
      <c r="T38" s="290">
        <f ca="1">ROUND(T42,2)/$Q$33</f>
        <v>0.39044379842223587</v>
      </c>
      <c r="U38" s="291">
        <f t="shared" ref="U38:AE38" ca="1" si="16">ROUND(U42,2)/$Q$33</f>
        <v>0.73791576448313001</v>
      </c>
      <c r="V38" s="291">
        <f t="shared" ca="1" si="16"/>
        <v>1.0000000088029792</v>
      </c>
      <c r="W38" s="291">
        <f t="shared" ca="1" si="16"/>
        <v>1.0000000088029792</v>
      </c>
      <c r="X38" s="291">
        <f t="shared" ca="1" si="16"/>
        <v>1.0000000088029792</v>
      </c>
      <c r="Y38" s="291">
        <f t="shared" ca="1" si="16"/>
        <v>1.0000000088029792</v>
      </c>
      <c r="Z38" s="291">
        <f t="shared" ca="1" si="16"/>
        <v>1.0000000088029792</v>
      </c>
      <c r="AA38" s="291">
        <f t="shared" ca="1" si="16"/>
        <v>1.0000000088029792</v>
      </c>
      <c r="AB38" s="291">
        <f t="shared" ca="1" si="16"/>
        <v>1.0000000088029792</v>
      </c>
      <c r="AC38" s="291">
        <f t="shared" ca="1" si="16"/>
        <v>1.0000000088029792</v>
      </c>
      <c r="AD38" s="291">
        <f t="shared" ca="1" si="16"/>
        <v>1.0000000088029792</v>
      </c>
      <c r="AE38" s="292">
        <f t="shared" ca="1" si="16"/>
        <v>1.0000000088029792</v>
      </c>
      <c r="AF38" s="290">
        <f t="shared" ref="AF38:AQ38" ca="1" si="17">AF42/$Q$33</f>
        <v>1.0116992863744514</v>
      </c>
      <c r="AG38" s="291">
        <f t="shared" ca="1" si="17"/>
        <v>1.0116992863744514</v>
      </c>
      <c r="AH38" s="291">
        <f t="shared" ca="1" si="17"/>
        <v>1.0116992863744514</v>
      </c>
      <c r="AI38" s="291">
        <f t="shared" ca="1" si="17"/>
        <v>1.0116992863744514</v>
      </c>
      <c r="AJ38" s="291">
        <f t="shared" ca="1" si="17"/>
        <v>1.0116992863744514</v>
      </c>
      <c r="AK38" s="291">
        <f t="shared" ca="1" si="17"/>
        <v>1.0116992863744514</v>
      </c>
      <c r="AL38" s="291">
        <f t="shared" ca="1" si="17"/>
        <v>1.0116992863744514</v>
      </c>
      <c r="AM38" s="291">
        <f t="shared" ca="1" si="17"/>
        <v>1.0116992863744514</v>
      </c>
      <c r="AN38" s="291">
        <f t="shared" ca="1" si="17"/>
        <v>1.0116992863744514</v>
      </c>
      <c r="AO38" s="291">
        <f t="shared" ca="1" si="17"/>
        <v>1.0116992863744514</v>
      </c>
      <c r="AP38" s="291">
        <f t="shared" ca="1" si="17"/>
        <v>1.0116992863744514</v>
      </c>
      <c r="AQ38" s="292">
        <f t="shared" ca="1" si="17"/>
        <v>1.0116992863744514</v>
      </c>
    </row>
    <row r="39" spans="4:44" x14ac:dyDescent="0.2">
      <c r="D39" s="293">
        <f ca="1">ROUND(D42-D41-D40,2)</f>
        <v>187844.07</v>
      </c>
      <c r="F39" s="234" t="s">
        <v>248</v>
      </c>
      <c r="K39" s="294"/>
      <c r="R39" s="295"/>
      <c r="S39" s="296" t="str">
        <f>IF(import.recurso="FGTS","Financiamento:","Repasse:")</f>
        <v>Repasse:</v>
      </c>
      <c r="T39" s="297">
        <f ca="1">ROUND(T42-T41-T40,2)</f>
        <v>187844.07</v>
      </c>
      <c r="U39" s="293">
        <f t="shared" ref="U39:AQ39" ca="1" si="18">ROUND(U42-U41-U40,2)</f>
        <v>355014.22</v>
      </c>
      <c r="V39" s="293">
        <f t="shared" ca="1" si="18"/>
        <v>481104</v>
      </c>
      <c r="W39" s="293">
        <f t="shared" ca="1" si="18"/>
        <v>481104</v>
      </c>
      <c r="X39" s="293">
        <f t="shared" ca="1" si="18"/>
        <v>481104</v>
      </c>
      <c r="Y39" s="293">
        <f t="shared" ca="1" si="18"/>
        <v>481104</v>
      </c>
      <c r="Z39" s="293">
        <f t="shared" ca="1" si="18"/>
        <v>481104</v>
      </c>
      <c r="AA39" s="293">
        <f t="shared" ca="1" si="18"/>
        <v>481104</v>
      </c>
      <c r="AB39" s="293">
        <f t="shared" ca="1" si="18"/>
        <v>481104</v>
      </c>
      <c r="AC39" s="293">
        <f t="shared" ca="1" si="18"/>
        <v>481104</v>
      </c>
      <c r="AD39" s="293">
        <f t="shared" ca="1" si="18"/>
        <v>481104</v>
      </c>
      <c r="AE39" s="298">
        <f t="shared" ca="1" si="18"/>
        <v>481104</v>
      </c>
      <c r="AF39" s="297">
        <f t="shared" ca="1" si="18"/>
        <v>486732.57</v>
      </c>
      <c r="AG39" s="293">
        <f t="shared" ca="1" si="18"/>
        <v>486732.57</v>
      </c>
      <c r="AH39" s="293">
        <f t="shared" ca="1" si="18"/>
        <v>486732.57</v>
      </c>
      <c r="AI39" s="293">
        <f t="shared" ca="1" si="18"/>
        <v>486732.57</v>
      </c>
      <c r="AJ39" s="293">
        <f t="shared" ca="1" si="18"/>
        <v>486732.57</v>
      </c>
      <c r="AK39" s="293">
        <f t="shared" ca="1" si="18"/>
        <v>486732.57</v>
      </c>
      <c r="AL39" s="293">
        <f t="shared" ca="1" si="18"/>
        <v>486732.57</v>
      </c>
      <c r="AM39" s="293">
        <f t="shared" ca="1" si="18"/>
        <v>486732.57</v>
      </c>
      <c r="AN39" s="293">
        <f t="shared" ca="1" si="18"/>
        <v>486732.57</v>
      </c>
      <c r="AO39" s="293">
        <f t="shared" ca="1" si="18"/>
        <v>486732.57</v>
      </c>
      <c r="AP39" s="293">
        <f t="shared" ca="1" si="18"/>
        <v>486732.57</v>
      </c>
      <c r="AQ39" s="298">
        <f t="shared" ca="1" si="18"/>
        <v>486732.57</v>
      </c>
      <c r="AR39" s="235">
        <f ca="1">AE39+SUMPRODUCT((OFFSET($B$13,1,0):OFFSET($B$32,-3,0))*IF(ISNUMBER(OFFSET(AR$11,5,0):OFFSET(AR$32,-1,0)),OFFSET(AR$11,5,0):OFFSET(AR$32,-1,0),0))</f>
        <v>481104</v>
      </c>
    </row>
    <row r="40" spans="4:44" x14ac:dyDescent="0.2">
      <c r="D40" s="293">
        <f t="array" aca="1" ref="D40" ca="1">C40+SUM((OFFSET($B$13,1,0):OFFSET($B$32,-3,0))*IF(ISNUMBER(OFFSET(D$11,5,0):OFFSET(D$32,-1,0)),OFFSET(D$11,5,0):OFFSET(D$32,-1,0),0))</f>
        <v>7826.2566423368035</v>
      </c>
      <c r="F40" s="234" t="s">
        <v>248</v>
      </c>
      <c r="K40" s="300" t="s">
        <v>289</v>
      </c>
      <c r="R40" s="301"/>
      <c r="S40" s="302" t="s">
        <v>286</v>
      </c>
      <c r="T40" s="303">
        <f t="array" aca="1" ref="T40" ca="1">SUM((OFFSET($B$13,1,0):OFFSET($B$32,-3,0))*IF(ISNUMBER(OFFSET(T$11,5,0):OFFSET(T$32,-1,0)),OFFSET(T$11,5,0):OFFSET(T$32,-1,0),0))</f>
        <v>7826.2566423368035</v>
      </c>
      <c r="U40" s="304">
        <f t="array" aca="1" ref="U40" ca="1">T40+SUM((OFFSET($B$13,1,0):OFFSET($B$32,-3,0))*IF(ISNUMBER(OFFSET(U$11,5,0):OFFSET(U$32,-1,0)),OFFSET(U$11,5,0):OFFSET(U$32,-1,0),0))</f>
        <v>14791.163927671838</v>
      </c>
      <c r="V40" s="304">
        <f t="array" aca="1" ref="V40" ca="1">U40+SUM((OFFSET($B$13,1,0):OFFSET($B$32,-3,0))*IF(ISNUMBER(OFFSET(V$11,5,0):OFFSET(V$32,-1,0)),OFFSET(V$11,5,0):OFFSET(V$32,-1,0),0))</f>
        <v>20044.515588400012</v>
      </c>
      <c r="W40" s="304">
        <f t="array" aca="1" ref="W40" ca="1">V40+SUM((OFFSET($B$13,1,0):OFFSET($B$32,-3,0))*IF(ISNUMBER(OFFSET(W$11,5,0):OFFSET(W$32,-1,0)),OFFSET(W$11,5,0):OFFSET(W$32,-1,0),0))</f>
        <v>20044.515588400012</v>
      </c>
      <c r="X40" s="304">
        <f t="array" aca="1" ref="X40" ca="1">W40+SUM((OFFSET($B$13,1,0):OFFSET($B$32,-3,0))*IF(ISNUMBER(OFFSET(X$11,5,0):OFFSET(X$32,-1,0)),OFFSET(X$11,5,0):OFFSET(X$32,-1,0),0))</f>
        <v>20044.515588400012</v>
      </c>
      <c r="Y40" s="304">
        <f t="array" aca="1" ref="Y40" ca="1">X40+SUM((OFFSET($B$13,1,0):OFFSET($B$32,-3,0))*IF(ISNUMBER(OFFSET(Y$11,5,0):OFFSET(Y$32,-1,0)),OFFSET(Y$11,5,0):OFFSET(Y$32,-1,0),0))</f>
        <v>20044.515588400012</v>
      </c>
      <c r="Z40" s="304">
        <f t="array" aca="1" ref="Z40" ca="1">Y40+SUM((OFFSET($B$13,1,0):OFFSET($B$32,-3,0))*IF(ISNUMBER(OFFSET(Z$11,5,0):OFFSET(Z$32,-1,0)),OFFSET(Z$11,5,0):OFFSET(Z$32,-1,0),0))</f>
        <v>20044.515588400012</v>
      </c>
      <c r="AA40" s="304">
        <f t="array" aca="1" ref="AA40" ca="1">Z40+SUM((OFFSET($B$13,1,0):OFFSET($B$32,-3,0))*IF(ISNUMBER(OFFSET(AA$11,5,0):OFFSET(AA$32,-1,0)),OFFSET(AA$11,5,0):OFFSET(AA$32,-1,0),0))</f>
        <v>20044.515588400012</v>
      </c>
      <c r="AB40" s="304">
        <f t="array" aca="1" ref="AB40" ca="1">AA40+SUM((OFFSET($B$13,1,0):OFFSET($B$32,-3,0))*IF(ISNUMBER(OFFSET(AB$11,5,0):OFFSET(AB$32,-1,0)),OFFSET(AB$11,5,0):OFFSET(AB$32,-1,0),0))</f>
        <v>20044.515588400012</v>
      </c>
      <c r="AC40" s="304">
        <f t="array" aca="1" ref="AC40" ca="1">AB40+SUM((OFFSET($B$13,1,0):OFFSET($B$32,-3,0))*IF(ISNUMBER(OFFSET(AC$11,5,0):OFFSET(AC$32,-1,0)),OFFSET(AC$11,5,0):OFFSET(AC$32,-1,0),0))</f>
        <v>20044.515588400012</v>
      </c>
      <c r="AD40" s="304">
        <f t="array" aca="1" ref="AD40" ca="1">AC40+SUM((OFFSET($B$13,1,0):OFFSET($B$32,-3,0))*IF(ISNUMBER(OFFSET(AD$11,5,0):OFFSET(AD$32,-1,0)),OFFSET(AD$11,5,0):OFFSET(AD$32,-1,0),0))</f>
        <v>20044.515588400012</v>
      </c>
      <c r="AE40" s="305">
        <f t="array" aca="1" ref="AE40" ca="1">AD40+SUM((OFFSET($B$13,1,0):OFFSET($B$32,-3,0))*IF(ISNUMBER(OFFSET(AE$11,5,0):OFFSET(AE$32,-1,0)),OFFSET(AE$11,5,0):OFFSET(AE$32,-1,0),0))</f>
        <v>20044.515588400012</v>
      </c>
      <c r="AF40" s="303">
        <f t="array" aca="1" ref="AF40" ca="1">AE40+SUM((OFFSET($B$13,1,0):OFFSET($B$32,-3,0))*IF(ISNUMBER(OFFSET(AF$11,5,0):OFFSET(AF$32,-1,0)),OFFSET(AF$11,5,0):OFFSET(AF$32,-1,0),0))</f>
        <v>20279.022116505861</v>
      </c>
      <c r="AG40" s="304">
        <f t="array" aca="1" ref="AG40" ca="1">AF40+SUM((OFFSET($B$13,1,0):OFFSET($B$32,-3,0))*IF(ISNUMBER(OFFSET(AG$11,5,0):OFFSET(AG$32,-1,0)),OFFSET(AG$11,5,0):OFFSET(AG$32,-1,0),0))</f>
        <v>20279.022116505861</v>
      </c>
      <c r="AH40" s="304">
        <f t="array" aca="1" ref="AH40" ca="1">AG40+SUM((OFFSET($B$13,1,0):OFFSET($B$32,-3,0))*IF(ISNUMBER(OFFSET(AH$11,5,0):OFFSET(AH$32,-1,0)),OFFSET(AH$11,5,0):OFFSET(AH$32,-1,0),0))</f>
        <v>20279.022116505861</v>
      </c>
      <c r="AI40" s="304">
        <f t="array" aca="1" ref="AI40" ca="1">AH40+SUM((OFFSET($B$13,1,0):OFFSET($B$32,-3,0))*IF(ISNUMBER(OFFSET(AI$11,5,0):OFFSET(AI$32,-1,0)),OFFSET(AI$11,5,0):OFFSET(AI$32,-1,0),0))</f>
        <v>20279.022116505861</v>
      </c>
      <c r="AJ40" s="304">
        <f t="array" aca="1" ref="AJ40" ca="1">AI40+SUM((OFFSET($B$13,1,0):OFFSET($B$32,-3,0))*IF(ISNUMBER(OFFSET(AJ$11,5,0):OFFSET(AJ$32,-1,0)),OFFSET(AJ$11,5,0):OFFSET(AJ$32,-1,0),0))</f>
        <v>20279.022116505861</v>
      </c>
      <c r="AK40" s="304">
        <f t="array" aca="1" ref="AK40" ca="1">AJ40+SUM((OFFSET($B$13,1,0):OFFSET($B$32,-3,0))*IF(ISNUMBER(OFFSET(AK$11,5,0):OFFSET(AK$32,-1,0)),OFFSET(AK$11,5,0):OFFSET(AK$32,-1,0),0))</f>
        <v>20279.022116505861</v>
      </c>
      <c r="AL40" s="304">
        <f t="array" aca="1" ref="AL40" ca="1">AK40+SUM((OFFSET($B$13,1,0):OFFSET($B$32,-3,0))*IF(ISNUMBER(OFFSET(AL$11,5,0):OFFSET(AL$32,-1,0)),OFFSET(AL$11,5,0):OFFSET(AL$32,-1,0),0))</f>
        <v>20279.022116505861</v>
      </c>
      <c r="AM40" s="304">
        <f t="array" aca="1" ref="AM40" ca="1">AL40+SUM((OFFSET($B$13,1,0):OFFSET($B$32,-3,0))*IF(ISNUMBER(OFFSET(AM$11,5,0):OFFSET(AM$32,-1,0)),OFFSET(AM$11,5,0):OFFSET(AM$32,-1,0),0))</f>
        <v>20279.022116505861</v>
      </c>
      <c r="AN40" s="304">
        <f t="array" aca="1" ref="AN40" ca="1">AM40+SUM((OFFSET($B$13,1,0):OFFSET($B$32,-3,0))*IF(ISNUMBER(OFFSET(AN$11,5,0):OFFSET(AN$32,-1,0)),OFFSET(AN$11,5,0):OFFSET(AN$32,-1,0),0))</f>
        <v>20279.022116505861</v>
      </c>
      <c r="AO40" s="304">
        <f t="array" aca="1" ref="AO40" ca="1">AN40+SUM((OFFSET($B$13,1,0):OFFSET($B$32,-3,0))*IF(ISNUMBER(OFFSET(AO$11,5,0):OFFSET(AO$32,-1,0)),OFFSET(AO$11,5,0):OFFSET(AO$32,-1,0),0))</f>
        <v>20279.022116505861</v>
      </c>
      <c r="AP40" s="304">
        <f t="array" aca="1" ref="AP40" ca="1">AO40+SUM((OFFSET($B$13,1,0):OFFSET($B$32,-3,0))*IF(ISNUMBER(OFFSET(AP$11,5,0):OFFSET(AP$32,-1,0)),OFFSET(AP$11,5,0):OFFSET(AP$32,-1,0),0))</f>
        <v>20279.022116505861</v>
      </c>
      <c r="AQ40" s="305">
        <f t="array" aca="1" ref="AQ40" ca="1">AP40+SUM((OFFSET($B$13,1,0):OFFSET($B$32,-3,0))*IF(ISNUMBER(OFFSET(AQ$11,5,0):OFFSET(AQ$32,-1,0)),OFFSET(AQ$11,5,0):OFFSET(AQ$32,-1,0),0))</f>
        <v>20279.022116505861</v>
      </c>
      <c r="AR40" s="235">
        <f ca="1">AE40+SUMPRODUCT((OFFSET($C$13,1,0):OFFSET($C$32,-3,0))*IF(ISNUMBER(OFFSET(AR$11,5,0):OFFSET(AR$32,-1,0)),OFFSET(AR$11,5,0):OFFSET(AR$32,-1,0),0))</f>
        <v>20044.515588400012</v>
      </c>
    </row>
    <row r="41" spans="4:44" x14ac:dyDescent="0.2">
      <c r="D41" s="306">
        <f t="array" aca="1" ref="D41" ca="1">C41+SUM((OFFSET($C$13,1,0):OFFSET($C$32,-3,0))*IF(ISNUMBER(OFFSET(D$11,5,0):OFFSET(D$32,-1,0)),OFFSET(D$11,5,0):OFFSET(D$32,-1,0),0))</f>
        <v>0</v>
      </c>
      <c r="F41" s="234" t="s">
        <v>248</v>
      </c>
      <c r="K41" s="300"/>
      <c r="R41" s="307"/>
      <c r="S41" s="308" t="s">
        <v>287</v>
      </c>
      <c r="T41" s="309">
        <f t="array" aca="1" ref="T41" ca="1">SUM((OFFSET($C$13,1,0):OFFSET($C$32,-3,0))*IF(ISNUMBER(OFFSET(T$11,5,0):OFFSET(T$32,-1,0)),OFFSET(T$11,5,0):OFFSET(T$32,-1,0),0))</f>
        <v>0</v>
      </c>
      <c r="U41" s="306">
        <f t="array" aca="1" ref="U41" ca="1">T41+SUM((OFFSET($C$13,1,0):OFFSET($C$32,-3,0))*IF(ISNUMBER(OFFSET(U$11,5,0):OFFSET(U$32,-1,0)),OFFSET(U$11,5,0):OFFSET(U$32,-1,0),0))</f>
        <v>0</v>
      </c>
      <c r="V41" s="306">
        <f t="array" aca="1" ref="V41" ca="1">U41+SUM((OFFSET($C$13,1,0):OFFSET($C$32,-3,0))*IF(ISNUMBER(OFFSET(V$11,5,0):OFFSET(V$32,-1,0)),OFFSET(V$11,5,0):OFFSET(V$32,-1,0),0))</f>
        <v>0</v>
      </c>
      <c r="W41" s="306">
        <f t="array" aca="1" ref="W41" ca="1">V41+SUM((OFFSET($C$13,1,0):OFFSET($C$32,-3,0))*IF(ISNUMBER(OFFSET(W$11,5,0):OFFSET(W$32,-1,0)),OFFSET(W$11,5,0):OFFSET(W$32,-1,0),0))</f>
        <v>0</v>
      </c>
      <c r="X41" s="306">
        <f t="array" aca="1" ref="X41" ca="1">W41+SUM((OFFSET($C$13,1,0):OFFSET($C$32,-3,0))*IF(ISNUMBER(OFFSET(X$11,5,0):OFFSET(X$32,-1,0)),OFFSET(X$11,5,0):OFFSET(X$32,-1,0),0))</f>
        <v>0</v>
      </c>
      <c r="Y41" s="306">
        <f t="array" aca="1" ref="Y41" ca="1">X41+SUM((OFFSET($C$13,1,0):OFFSET($C$32,-3,0))*IF(ISNUMBER(OFFSET(Y$11,5,0):OFFSET(Y$32,-1,0)),OFFSET(Y$11,5,0):OFFSET(Y$32,-1,0),0))</f>
        <v>0</v>
      </c>
      <c r="Z41" s="306">
        <f t="array" aca="1" ref="Z41" ca="1">Y41+SUM((OFFSET($C$13,1,0):OFFSET($C$32,-3,0))*IF(ISNUMBER(OFFSET(Z$11,5,0):OFFSET(Z$32,-1,0)),OFFSET(Z$11,5,0):OFFSET(Z$32,-1,0),0))</f>
        <v>0</v>
      </c>
      <c r="AA41" s="306">
        <f t="array" aca="1" ref="AA41" ca="1">Z41+SUM((OFFSET($C$13,1,0):OFFSET($C$32,-3,0))*IF(ISNUMBER(OFFSET(AA$11,5,0):OFFSET(AA$32,-1,0)),OFFSET(AA$11,5,0):OFFSET(AA$32,-1,0),0))</f>
        <v>0</v>
      </c>
      <c r="AB41" s="306">
        <f t="array" aca="1" ref="AB41" ca="1">AA41+SUM((OFFSET($C$13,1,0):OFFSET($C$32,-3,0))*IF(ISNUMBER(OFFSET(AB$11,5,0):OFFSET(AB$32,-1,0)),OFFSET(AB$11,5,0):OFFSET(AB$32,-1,0),0))</f>
        <v>0</v>
      </c>
      <c r="AC41" s="306">
        <f t="array" aca="1" ref="AC41" ca="1">AB41+SUM((OFFSET($C$13,1,0):OFFSET($C$32,-3,0))*IF(ISNUMBER(OFFSET(AC$11,5,0):OFFSET(AC$32,-1,0)),OFFSET(AC$11,5,0):OFFSET(AC$32,-1,0),0))</f>
        <v>0</v>
      </c>
      <c r="AD41" s="306">
        <f t="array" aca="1" ref="AD41" ca="1">AC41+SUM((OFFSET($C$13,1,0):OFFSET($C$32,-3,0))*IF(ISNUMBER(OFFSET(AD$11,5,0):OFFSET(AD$32,-1,0)),OFFSET(AD$11,5,0):OFFSET(AD$32,-1,0),0))</f>
        <v>0</v>
      </c>
      <c r="AE41" s="310">
        <f t="array" aca="1" ref="AE41" ca="1">AD41+SUM((OFFSET($C$13,1,0):OFFSET($C$32,-3,0))*IF(ISNUMBER(OFFSET(AE$11,5,0):OFFSET(AE$32,-1,0)),OFFSET(AE$11,5,0):OFFSET(AE$32,-1,0),0))</f>
        <v>0</v>
      </c>
      <c r="AF41" s="309">
        <f t="array" aca="1" ref="AF41" ca="1">AE41+SUM((OFFSET($C$13,1,0):OFFSET($C$32,-3,0))*IF(ISNUMBER(OFFSET(AF$11,5,0):OFFSET(AF$32,-1,0)),OFFSET(AF$11,5,0):OFFSET(AF$32,-1,0),0))</f>
        <v>0</v>
      </c>
      <c r="AG41" s="306">
        <f t="array" aca="1" ref="AG41" ca="1">AF41+SUM((OFFSET($C$13,1,0):OFFSET($C$32,-3,0))*IF(ISNUMBER(OFFSET(AG$11,5,0):OFFSET(AG$32,-1,0)),OFFSET(AG$11,5,0):OFFSET(AG$32,-1,0),0))</f>
        <v>0</v>
      </c>
      <c r="AH41" s="306">
        <f t="array" aca="1" ref="AH41" ca="1">AG41+SUM((OFFSET($C$13,1,0):OFFSET($C$32,-3,0))*IF(ISNUMBER(OFFSET(AH$11,5,0):OFFSET(AH$32,-1,0)),OFFSET(AH$11,5,0):OFFSET(AH$32,-1,0),0))</f>
        <v>0</v>
      </c>
      <c r="AI41" s="306">
        <f t="array" aca="1" ref="AI41" ca="1">AH41+SUM((OFFSET($C$13,1,0):OFFSET($C$32,-3,0))*IF(ISNUMBER(OFFSET(AI$11,5,0):OFFSET(AI$32,-1,0)),OFFSET(AI$11,5,0):OFFSET(AI$32,-1,0),0))</f>
        <v>0</v>
      </c>
      <c r="AJ41" s="306">
        <f t="array" aca="1" ref="AJ41" ca="1">AI41+SUM((OFFSET($C$13,1,0):OFFSET($C$32,-3,0))*IF(ISNUMBER(OFFSET(AJ$11,5,0):OFFSET(AJ$32,-1,0)),OFFSET(AJ$11,5,0):OFFSET(AJ$32,-1,0),0))</f>
        <v>0</v>
      </c>
      <c r="AK41" s="306">
        <f t="array" aca="1" ref="AK41" ca="1">AJ41+SUM((OFFSET($C$13,1,0):OFFSET($C$32,-3,0))*IF(ISNUMBER(OFFSET(AK$11,5,0):OFFSET(AK$32,-1,0)),OFFSET(AK$11,5,0):OFFSET(AK$32,-1,0),0))</f>
        <v>0</v>
      </c>
      <c r="AL41" s="306">
        <f t="array" aca="1" ref="AL41" ca="1">AK41+SUM((OFFSET($C$13,1,0):OFFSET($C$32,-3,0))*IF(ISNUMBER(OFFSET(AL$11,5,0):OFFSET(AL$32,-1,0)),OFFSET(AL$11,5,0):OFFSET(AL$32,-1,0),0))</f>
        <v>0</v>
      </c>
      <c r="AM41" s="306">
        <f t="array" aca="1" ref="AM41" ca="1">AL41+SUM((OFFSET($C$13,1,0):OFFSET($C$32,-3,0))*IF(ISNUMBER(OFFSET(AM$11,5,0):OFFSET(AM$32,-1,0)),OFFSET(AM$11,5,0):OFFSET(AM$32,-1,0),0))</f>
        <v>0</v>
      </c>
      <c r="AN41" s="306">
        <f t="array" aca="1" ref="AN41" ca="1">AM41+SUM((OFFSET($C$13,1,0):OFFSET($C$32,-3,0))*IF(ISNUMBER(OFFSET(AN$11,5,0):OFFSET(AN$32,-1,0)),OFFSET(AN$11,5,0):OFFSET(AN$32,-1,0),0))</f>
        <v>0</v>
      </c>
      <c r="AO41" s="306">
        <f t="array" aca="1" ref="AO41" ca="1">AN41+SUM((OFFSET($C$13,1,0):OFFSET($C$32,-3,0))*IF(ISNUMBER(OFFSET(AO$11,5,0):OFFSET(AO$32,-1,0)),OFFSET(AO$11,5,0):OFFSET(AO$32,-1,0),0))</f>
        <v>0</v>
      </c>
      <c r="AP41" s="306">
        <f t="array" aca="1" ref="AP41" ca="1">AO41+SUM((OFFSET($C$13,1,0):OFFSET($C$32,-3,0))*IF(ISNUMBER(OFFSET(AP$11,5,0):OFFSET(AP$32,-1,0)),OFFSET(AP$11,5,0):OFFSET(AP$32,-1,0),0))</f>
        <v>0</v>
      </c>
      <c r="AQ41" s="310">
        <f t="array" aca="1" ref="AQ41" ca="1">AP41+SUM((OFFSET($C$13,1,0):OFFSET($C$32,-3,0))*IF(ISNUMBER(OFFSET(AQ$11,5,0):OFFSET(AQ$32,-1,0)),OFFSET(AQ$11,5,0):OFFSET(AQ$32,-1,0),0))</f>
        <v>0</v>
      </c>
      <c r="AR41" s="235">
        <f ca="1">ROUND(AR42-AR39-AR40,2)</f>
        <v>0</v>
      </c>
    </row>
    <row r="42" spans="4:44" x14ac:dyDescent="0.2">
      <c r="D42" s="311">
        <f ca="1">C42+SUMIF($R$12:$R$32,"1$",D12:D32)</f>
        <v>195670.32596141746</v>
      </c>
      <c r="F42" s="234" t="s">
        <v>248</v>
      </c>
      <c r="K42" s="312"/>
      <c r="R42" s="313"/>
      <c r="S42" s="314" t="s">
        <v>288</v>
      </c>
      <c r="T42" s="315">
        <f ca="1">SUMIF($R$12:$R$32,"1$",T12:T32)</f>
        <v>195670.32596141746</v>
      </c>
      <c r="U42" s="316">
        <f t="shared" ref="U42:AQ42" ca="1" si="19">T42+SUMIF($R$12:$R$32,"1$",U12:U32)</f>
        <v>369805.38708888367</v>
      </c>
      <c r="V42" s="316">
        <f t="shared" ca="1" si="19"/>
        <v>501148.51558839995</v>
      </c>
      <c r="W42" s="316">
        <f t="shared" ca="1" si="19"/>
        <v>501148.51558839995</v>
      </c>
      <c r="X42" s="316">
        <f t="shared" ca="1" si="19"/>
        <v>501148.51558839995</v>
      </c>
      <c r="Y42" s="316">
        <f t="shared" ca="1" si="19"/>
        <v>501148.51558839995</v>
      </c>
      <c r="Z42" s="316">
        <f t="shared" ca="1" si="19"/>
        <v>501148.51558839995</v>
      </c>
      <c r="AA42" s="316">
        <f t="shared" ca="1" si="19"/>
        <v>501148.51558839995</v>
      </c>
      <c r="AB42" s="316">
        <f t="shared" ca="1" si="19"/>
        <v>501148.51558839995</v>
      </c>
      <c r="AC42" s="316">
        <f t="shared" ca="1" si="19"/>
        <v>501148.51558839995</v>
      </c>
      <c r="AD42" s="316">
        <f t="shared" ca="1" si="19"/>
        <v>501148.51558839995</v>
      </c>
      <c r="AE42" s="317">
        <f t="shared" ca="1" si="19"/>
        <v>501148.51558839995</v>
      </c>
      <c r="AF42" s="315">
        <f t="shared" ca="1" si="19"/>
        <v>507011.59558839997</v>
      </c>
      <c r="AG42" s="316">
        <f t="shared" ca="1" si="19"/>
        <v>507011.59558839997</v>
      </c>
      <c r="AH42" s="316">
        <f t="shared" ca="1" si="19"/>
        <v>507011.59558839997</v>
      </c>
      <c r="AI42" s="316">
        <f t="shared" ca="1" si="19"/>
        <v>507011.59558839997</v>
      </c>
      <c r="AJ42" s="316">
        <f t="shared" ca="1" si="19"/>
        <v>507011.59558839997</v>
      </c>
      <c r="AK42" s="316">
        <f t="shared" ca="1" si="19"/>
        <v>507011.59558839997</v>
      </c>
      <c r="AL42" s="316">
        <f t="shared" ca="1" si="19"/>
        <v>507011.59558839997</v>
      </c>
      <c r="AM42" s="316">
        <f t="shared" ca="1" si="19"/>
        <v>507011.59558839997</v>
      </c>
      <c r="AN42" s="316">
        <f t="shared" ca="1" si="19"/>
        <v>507011.59558839997</v>
      </c>
      <c r="AO42" s="316">
        <f t="shared" ca="1" si="19"/>
        <v>507011.59558839997</v>
      </c>
      <c r="AP42" s="316">
        <f t="shared" ca="1" si="19"/>
        <v>507011.59558839997</v>
      </c>
      <c r="AQ42" s="317">
        <f t="shared" ca="1" si="19"/>
        <v>507011.59558839997</v>
      </c>
      <c r="AR42" s="235">
        <f ca="1">AE42+SUMIF($R$12:$R$32,"1$",AR12:AR32)</f>
        <v>501148.51558839995</v>
      </c>
    </row>
    <row r="43" spans="4:44" x14ac:dyDescent="0.2">
      <c r="F43" s="234" t="s">
        <v>248</v>
      </c>
    </row>
    <row r="44" spans="4:44" ht="32.25" customHeight="1" x14ac:dyDescent="0.2">
      <c r="F44" s="234" t="s">
        <v>248</v>
      </c>
      <c r="H44" s="713" t="str">
        <f>Import.Município</f>
        <v>CONCEIÇÃO DOS OUROS/MG</v>
      </c>
      <c r="I44" s="713"/>
      <c r="J44" s="713"/>
      <c r="K44" s="713"/>
      <c r="L44" s="713"/>
      <c r="M44" s="713"/>
      <c r="N44" s="713"/>
      <c r="O44" s="713"/>
      <c r="P44" s="713"/>
      <c r="Q44" s="713"/>
      <c r="R44" s="713"/>
      <c r="Z44" s="636"/>
      <c r="AA44" s="636"/>
      <c r="AB44" s="636"/>
      <c r="AC44" s="636"/>
      <c r="AD44" s="639"/>
      <c r="AE44" s="639"/>
      <c r="AL44" s="636"/>
      <c r="AM44" s="636"/>
      <c r="AN44" s="636"/>
      <c r="AO44" s="636"/>
      <c r="AP44" s="639"/>
      <c r="AQ44" s="639"/>
    </row>
    <row r="45" spans="4:44" x14ac:dyDescent="0.2">
      <c r="F45" s="234" t="s">
        <v>248</v>
      </c>
      <c r="H45" s="12" t="s">
        <v>190</v>
      </c>
      <c r="I45" s="100"/>
      <c r="J45" s="100"/>
      <c r="K45" s="100"/>
      <c r="Z45" s="225" t="s">
        <v>192</v>
      </c>
      <c r="AA45" s="225"/>
      <c r="AB45" s="225"/>
      <c r="AC45" s="225"/>
      <c r="AD45" s="234"/>
      <c r="AE45" s="234"/>
      <c r="AL45" s="225" t="s">
        <v>192</v>
      </c>
      <c r="AM45" s="225"/>
      <c r="AN45" s="225"/>
      <c r="AO45" s="225"/>
      <c r="AP45" s="234"/>
      <c r="AQ45" s="234"/>
    </row>
    <row r="46" spans="4:44" x14ac:dyDescent="0.2">
      <c r="F46" s="234" t="s">
        <v>248</v>
      </c>
      <c r="H46" s="100"/>
      <c r="I46" s="100"/>
      <c r="J46" s="100"/>
      <c r="K46" s="100"/>
      <c r="Z46" s="638" t="str">
        <f t="array" aca="1" ref="Z46:Z48" ca="1">OFFSET(Import.RespOrçamento,0,-1) &amp; " " &amp; Import.RespOrçamento</f>
        <v>Nome: JOSÉ AIRTON JUNHO DOS REIS</v>
      </c>
      <c r="AB46" s="172"/>
      <c r="AC46" s="92"/>
      <c r="AD46" s="234"/>
      <c r="AE46" s="234"/>
      <c r="AL46" s="638" t="str">
        <f t="array" aca="1" ref="AL46:AL48" ca="1">OFFSET(Import.RespOrçamento,0,-1) &amp; " " &amp; Import.RespOrçamento</f>
        <v>Nome: JOSÉ AIRTON JUNHO DOS REIS</v>
      </c>
      <c r="AN46" s="172"/>
      <c r="AO46" s="92"/>
      <c r="AP46" s="234"/>
      <c r="AQ46" s="234"/>
    </row>
    <row r="47" spans="4:44" x14ac:dyDescent="0.2">
      <c r="F47" s="234" t="s">
        <v>248</v>
      </c>
      <c r="H47" s="753">
        <f>DADOS!$F$25</f>
        <v>45391</v>
      </c>
      <c r="I47" s="753"/>
      <c r="J47" s="753"/>
      <c r="K47" s="318"/>
      <c r="L47" s="319"/>
      <c r="M47" s="319"/>
      <c r="N47" s="319"/>
      <c r="O47" s="319"/>
      <c r="P47" s="319"/>
      <c r="Q47" s="319"/>
      <c r="R47" s="320"/>
      <c r="Z47" s="638" t="str">
        <f ca="1"/>
        <v>CREA/CAU: 56.250/D</v>
      </c>
      <c r="AB47" s="92"/>
      <c r="AC47" s="92"/>
      <c r="AD47" s="234"/>
      <c r="AE47" s="234"/>
      <c r="AL47" s="638" t="str">
        <f ca="1"/>
        <v>CREA/CAU: 56.250/D</v>
      </c>
      <c r="AN47" s="92"/>
      <c r="AO47" s="92"/>
      <c r="AP47" s="234"/>
      <c r="AQ47" s="234"/>
    </row>
    <row r="48" spans="4:44" x14ac:dyDescent="0.2">
      <c r="F48" s="234" t="s">
        <v>248</v>
      </c>
      <c r="H48" s="321" t="s">
        <v>191</v>
      </c>
      <c r="I48" s="101"/>
      <c r="J48" s="101"/>
      <c r="K48" s="100"/>
      <c r="Z48" s="638" t="str">
        <f ca="1"/>
        <v>ART/RRT: MG20242788680</v>
      </c>
      <c r="AB48" s="92"/>
      <c r="AC48" s="92"/>
      <c r="AD48" s="234"/>
      <c r="AE48" s="234"/>
      <c r="AL48" s="638" t="str">
        <f ca="1"/>
        <v>ART/RRT: MG20242788680</v>
      </c>
      <c r="AN48" s="92"/>
      <c r="AO48" s="92"/>
      <c r="AP48" s="234"/>
      <c r="AQ48" s="234"/>
    </row>
  </sheetData>
  <sheetProtection password="BD1F" sheet="1" objects="1" scenarios="1" autoFilter="0"/>
  <autoFilter ref="F13:F48">
    <filterColumn colId="0">
      <filters>
        <filter val="F"/>
      </filters>
    </filterColumn>
  </autoFilter>
  <mergeCells count="21">
    <mergeCell ref="F8:F11"/>
    <mergeCell ref="H8:I8"/>
    <mergeCell ref="G7:G9"/>
    <mergeCell ref="K8:S8"/>
    <mergeCell ref="T8:X8"/>
    <mergeCell ref="J10:S11"/>
    <mergeCell ref="AD4:AE4"/>
    <mergeCell ref="AD5:AE5"/>
    <mergeCell ref="Y8:AD8"/>
    <mergeCell ref="R12:R13"/>
    <mergeCell ref="S12:S13"/>
    <mergeCell ref="AP4:AQ4"/>
    <mergeCell ref="AP5:AQ5"/>
    <mergeCell ref="AF8:AJ8"/>
    <mergeCell ref="AK8:AP8"/>
    <mergeCell ref="H44:R44"/>
    <mergeCell ref="H33:J34"/>
    <mergeCell ref="G12:G13"/>
    <mergeCell ref="H12:H13"/>
    <mergeCell ref="I12:I13"/>
    <mergeCell ref="H47:J47"/>
  </mergeCells>
  <phoneticPr fontId="40" type="noConversion"/>
  <conditionalFormatting sqref="T12:T13">
    <cfRule type="expression" dxfId="95" priority="1747" stopIfTrue="1">
      <formula>NOT(ISNUMBER(S$12))</formula>
    </cfRule>
  </conditionalFormatting>
  <conditionalFormatting sqref="D2 T2:AR2">
    <cfRule type="expression" dxfId="94" priority="1748" stopIfTrue="1">
      <formula>AND(ISNUMBER($G1),$G1&lt;&gt;0)</formula>
    </cfRule>
  </conditionalFormatting>
  <conditionalFormatting sqref="H2:R2">
    <cfRule type="expression" dxfId="93" priority="1749" stopIfTrue="1">
      <formula>$L1=2</formula>
    </cfRule>
    <cfRule type="expression" dxfId="92" priority="1750" stopIfTrue="1">
      <formula>AND($L1=1,$R1&lt;&gt;"")</formula>
    </cfRule>
  </conditionalFormatting>
  <conditionalFormatting sqref="H1:R1">
    <cfRule type="expression" dxfId="91" priority="1751" stopIfTrue="1">
      <formula>$L1=2</formula>
    </cfRule>
    <cfRule type="expression" dxfId="90" priority="1752" stopIfTrue="1">
      <formula>AND($L1=1,$R1&lt;&gt;"")</formula>
    </cfRule>
  </conditionalFormatting>
  <conditionalFormatting sqref="D33:D37 T34:AQ34 T36:AQ36">
    <cfRule type="expression" dxfId="89" priority="1753" stopIfTrue="1">
      <formula>D$33=0</formula>
    </cfRule>
  </conditionalFormatting>
  <conditionalFormatting sqref="D38:D42">
    <cfRule type="expression" dxfId="88" priority="1754" stopIfTrue="1">
      <formula>C$38=1</formula>
    </cfRule>
  </conditionalFormatting>
  <conditionalFormatting sqref="U38:AQ38 U40:AQ40 U42:AQ42">
    <cfRule type="expression" dxfId="87" priority="1755" stopIfTrue="1">
      <formula>OFFSET(U$38,0,-1)&gt;=1</formula>
    </cfRule>
  </conditionalFormatting>
  <conditionalFormatting sqref="U39:AQ39 U41:AQ41">
    <cfRule type="expression" dxfId="86" priority="1756" stopIfTrue="1">
      <formula>OFFSET(U$38,0,-1)&gt;=1</formula>
    </cfRule>
  </conditionalFormatting>
  <conditionalFormatting sqref="T33:AQ33 T35:AQ35 T37:AQ37">
    <cfRule type="expression" dxfId="85" priority="1757" stopIfTrue="1">
      <formula>T$33=0</formula>
    </cfRule>
  </conditionalFormatting>
  <conditionalFormatting sqref="AE7:AQ8">
    <cfRule type="expression" dxfId="84" priority="1758" stopIfTrue="1">
      <formula>OR(TIPOORCAMENTO&lt;&gt;"Licitado",QCI.ExisteManual)</formula>
    </cfRule>
  </conditionalFormatting>
  <conditionalFormatting sqref="D1 T1:AQ1">
    <cfRule type="expression" dxfId="83" priority="1759" stopIfTrue="1">
      <formula>D1&lt;&gt;0</formula>
    </cfRule>
  </conditionalFormatting>
  <conditionalFormatting sqref="Y7:AD8">
    <cfRule type="expression" dxfId="82" priority="1746" stopIfTrue="1">
      <formula>QCI.ExisteManual</formula>
    </cfRule>
  </conditionalFormatting>
  <conditionalFormatting sqref="D15 D18 D21 T15:AR15 T18:AR18 T21:AR21">
    <cfRule type="expression" dxfId="81" priority="111" stopIfTrue="1">
      <formula>AND(ISNUMBER($G14),$G14&lt;&gt;0)</formula>
    </cfRule>
  </conditionalFormatting>
  <conditionalFormatting sqref="H15:R15 H18:R18 H21:R21">
    <cfRule type="expression" dxfId="80" priority="112" stopIfTrue="1">
      <formula>$L14=2</formula>
    </cfRule>
    <cfRule type="expression" dxfId="79" priority="113" stopIfTrue="1">
      <formula>AND($L14=1,$R14&lt;&gt;"")</formula>
    </cfRule>
  </conditionalFormatting>
  <conditionalFormatting sqref="H14:R14 H17:R17 H20:R20">
    <cfRule type="expression" dxfId="78" priority="114" stopIfTrue="1">
      <formula>$L14=2</formula>
    </cfRule>
    <cfRule type="expression" dxfId="77" priority="115" stopIfTrue="1">
      <formula>AND($L14=1,$R14&lt;&gt;"")</formula>
    </cfRule>
  </conditionalFormatting>
  <conditionalFormatting sqref="D14 D17 D20 T14:AQ14 T17:AQ17 T20:AQ20">
    <cfRule type="expression" dxfId="76" priority="116" stopIfTrue="1">
      <formula>D14&lt;&gt;0</formula>
    </cfRule>
  </conditionalFormatting>
  <conditionalFormatting sqref="D24 D27 T24:AR24 T27:AR27">
    <cfRule type="expression" dxfId="75" priority="105" stopIfTrue="1">
      <formula>AND(ISNUMBER($G23),$G23&lt;&gt;0)</formula>
    </cfRule>
  </conditionalFormatting>
  <conditionalFormatting sqref="H24:R24 H27:R27">
    <cfRule type="expression" dxfId="74" priority="106" stopIfTrue="1">
      <formula>$L23=2</formula>
    </cfRule>
    <cfRule type="expression" dxfId="73" priority="107" stopIfTrue="1">
      <formula>AND($L23=1,$R23&lt;&gt;"")</formula>
    </cfRule>
  </conditionalFormatting>
  <conditionalFormatting sqref="H23:R23 H26:R26">
    <cfRule type="expression" dxfId="72" priority="108" stopIfTrue="1">
      <formula>$L23=2</formula>
    </cfRule>
    <cfRule type="expression" dxfId="71" priority="109" stopIfTrue="1">
      <formula>AND($L23=1,$R23&lt;&gt;"")</formula>
    </cfRule>
  </conditionalFormatting>
  <conditionalFormatting sqref="D23 D26 T23:AQ23 T26:AQ26">
    <cfRule type="expression" dxfId="70" priority="110" stopIfTrue="1">
      <formula>D23&lt;&gt;0</formula>
    </cfRule>
  </conditionalFormatting>
  <conditionalFormatting sqref="AF12:AF13">
    <cfRule type="expression" dxfId="69" priority="14" stopIfTrue="1">
      <formula>NOT(ISNUMBER(AE$12))</formula>
    </cfRule>
  </conditionalFormatting>
  <conditionalFormatting sqref="AK7:AP8">
    <cfRule type="expression" dxfId="68" priority="13" stopIfTrue="1">
      <formula>QCI.ExisteManual</formula>
    </cfRule>
  </conditionalFormatting>
  <conditionalFormatting sqref="D30 T30:AR30">
    <cfRule type="expression" dxfId="67" priority="1" stopIfTrue="1">
      <formula>AND(ISNUMBER($G29),$G29&lt;&gt;0)</formula>
    </cfRule>
  </conditionalFormatting>
  <conditionalFormatting sqref="H30:R30">
    <cfRule type="expression" dxfId="66" priority="2" stopIfTrue="1">
      <formula>$L29=2</formula>
    </cfRule>
    <cfRule type="expression" dxfId="65" priority="3" stopIfTrue="1">
      <formula>AND($L29=1,$R29&lt;&gt;"")</formula>
    </cfRule>
  </conditionalFormatting>
  <conditionalFormatting sqref="H29:R29">
    <cfRule type="expression" dxfId="64" priority="4" stopIfTrue="1">
      <formula>$L29=2</formula>
    </cfRule>
    <cfRule type="expression" dxfId="63" priority="5" stopIfTrue="1">
      <formula>AND($L29=1,$R29&lt;&gt;"")</formula>
    </cfRule>
  </conditionalFormatting>
  <conditionalFormatting sqref="D29 T29:AQ29">
    <cfRule type="expression" dxfId="62" priority="6" stopIfTrue="1">
      <formula>D29&lt;&gt;0</formula>
    </cfRule>
  </conditionalFormatting>
  <dataValidations count="5">
    <dataValidation type="list" allowBlank="1" showErrorMessage="1" sqref="G10">
      <formula1>"1,2,3,4"</formula1>
      <formula2>0</formula2>
    </dataValidation>
    <dataValidation allowBlank="1" showInputMessage="1" showErrorMessage="1" prompt="Preencha na célula de baixo. Se o acompanhamento for PLE, preencha no botão PREENCHIMENTO POR EVENTOS, acima." sqref="D1 T14:AQ14 D14 D17 D20 T17:AQ17 T20:AQ20 T23:AQ23 D23 D26 T26:AQ26 T1:AQ1 D29 T29:AQ29"/>
    <dataValidation type="whole" operator="greaterThan" allowBlank="1" showErrorMessage="1" sqref="T12 AF12">
      <formula1>0</formula1>
      <formula2>0</formula2>
    </dataValidation>
    <dataValidation type="decimal" allowBlank="1" showErrorMessage="1" error="Porcentagem Acumulada &gt; 100%." sqref="D2 D15 D18 D21 D24 D27 T27:AR27 T24:AR24 T21:AR21 T18:AR18 T15:AR15 T2:AR2 D30 T30:AR30">
      <formula1>0</formula1>
      <formula2>CRONO.MaxParc</formula2>
    </dataValidation>
    <dataValidation type="date" operator="greaterThan" allowBlank="1" showInputMessage="1" showErrorMessage="1" errorTitle="Erro" error="Digite somente datas." sqref="T13 AF13">
      <formula1>36526</formula1>
    </dataValidation>
  </dataValidations>
  <pageMargins left="0.78740157480314965" right="0.78740157480314965" top="0.78740157480314965" bottom="0.78740157480314965" header="0.59055118110236227" footer="0.59055118110236227"/>
  <pageSetup paperSize="9" scale="65" firstPageNumber="0" orientation="landscape" r:id="rId1"/>
  <headerFooter alignWithMargins="0">
    <oddHeader>&amp;C&amp;14I</oddHeader>
    <oddFooter>&amp;LPMv3.0.4&amp;R&amp;P /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pageSetUpPr fitToPage="1"/>
  </sheetPr>
  <dimension ref="A1:BD21"/>
  <sheetViews>
    <sheetView showGridLines="0" zoomScale="90" zoomScaleNormal="90" workbookViewId="0">
      <pane xSplit="3" ySplit="13" topLeftCell="D14" activePane="bottomRight" state="frozen"/>
      <selection activeCell="A3" sqref="A3"/>
      <selection pane="topRight" activeCell="D3" sqref="D3"/>
      <selection pane="bottomLeft" activeCell="A13" sqref="A13"/>
      <selection pane="bottomRight" activeCell="H20" sqref="H20"/>
    </sheetView>
  </sheetViews>
  <sheetFormatPr defaultRowHeight="12.75" x14ac:dyDescent="0.2"/>
  <cols>
    <col min="1" max="1" width="3.85546875" customWidth="1"/>
    <col min="2" max="2" width="8.140625" customWidth="1"/>
    <col min="3" max="3" width="36.85546875" customWidth="1"/>
    <col min="4" max="4" width="1.42578125" customWidth="1"/>
    <col min="5" max="6" width="0" hidden="1" customWidth="1"/>
    <col min="7" max="56" width="5.7109375" customWidth="1"/>
    <col min="57" max="57" width="2.140625" customWidth="1"/>
  </cols>
  <sheetData>
    <row r="1" spans="1:56" hidden="1" x14ac:dyDescent="0.2">
      <c r="A1" s="9" t="e">
        <f ca="1">IF(AUTOEVENTO="Manual",IF(OFFSET(EVENTOS!$F$14,CRONOPLE!$B1,0)&gt;0,"F",""),IF(CRONOPLE!B1&lt;=MAX(CÁLCULO!$M$15:$M$33),"F",""))</f>
        <v>#REF!</v>
      </c>
      <c r="B1" s="322" t="e">
        <f ca="1">OFFSET(B1,-1,0)+1</f>
        <v>#REF!</v>
      </c>
      <c r="C1" s="323" t="e">
        <f ca="1">IF(AUTOEVENTO="Manual",IF($B1&lt;&gt;1,OFFSET(EVENTOS!$D$14,$B1,0),0),IF(B1&lt;=MAX(CÁLCULO!$M$15:$M$33),VLOOKUP($B1,CÁLCULO!$M$15:$N$33,2,FALSE),0))</f>
        <v>#REF!</v>
      </c>
      <c r="E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  <c r="AD1" s="324"/>
      <c r="AE1" s="324"/>
      <c r="AF1" s="324"/>
      <c r="AG1" s="324"/>
      <c r="AH1" s="324"/>
      <c r="AI1" s="324"/>
      <c r="AJ1" s="324"/>
      <c r="AK1" s="324"/>
      <c r="AL1" s="324"/>
      <c r="AM1" s="324"/>
      <c r="AN1" s="324"/>
      <c r="AO1" s="324"/>
      <c r="AP1" s="324"/>
      <c r="AQ1" s="324"/>
      <c r="AR1" s="324"/>
      <c r="AS1" s="324"/>
      <c r="AT1" s="324"/>
      <c r="AU1" s="324"/>
      <c r="AV1" s="324"/>
      <c r="AW1" s="324"/>
      <c r="AX1" s="324"/>
      <c r="AY1" s="324"/>
      <c r="AZ1" s="324"/>
      <c r="BA1" s="324"/>
      <c r="BB1" s="324"/>
      <c r="BC1" s="324"/>
      <c r="BD1" s="324"/>
    </row>
    <row r="2" spans="1:56" hidden="1" x14ac:dyDescent="0.2"/>
    <row r="3" spans="1:56" hidden="1" x14ac:dyDescent="0.2"/>
    <row r="4" spans="1:56" hidden="1" x14ac:dyDescent="0.2"/>
    <row r="5" spans="1:56" ht="15.75" x14ac:dyDescent="0.2">
      <c r="B5" s="98" t="s">
        <v>290</v>
      </c>
    </row>
    <row r="7" spans="1:56" x14ac:dyDescent="0.2">
      <c r="B7" t="s">
        <v>291</v>
      </c>
    </row>
    <row r="9" spans="1:56" ht="15" x14ac:dyDescent="0.25">
      <c r="B9" s="325" t="str">
        <f ca="1">IF(ACOMPANHAMENTO="BM","NO ACOMPANHAMENTO POR BM, UTILIZE A ABA CRONO",IF(MAX($B$14:$B$21)&lt;MAX(CÁLCULO!$M$15:$M$33),"ERRO: NÚMERO DE EVENTOS INSUFICIENTE, CLIQUE EM ATUALIZAR LINHAS",IF(ROUND(OFFSET(CRONO!$AR$42,0,-1),2)&lt;&gt;CRONO!$Q$33,"ERRO: CRONOGRAMA NÃO FECHA 100%","")))</f>
        <v>ERRO: CRONOGRAMA NÃO FECHA 100%</v>
      </c>
    </row>
    <row r="11" spans="1:56" ht="65.25" customHeight="1" x14ac:dyDescent="0.2">
      <c r="A11" s="326"/>
      <c r="C11" s="327"/>
      <c r="E11" s="328" t="str">
        <f ca="1">IF(E$12&gt;CÁLCULO.NúmeroDeFrentes,"",OFFSET(CÁLCULO!$P$12,0,E$12))</f>
        <v>TRÊS CRUZES 1ª ETAPA</v>
      </c>
      <c r="G11" s="328" t="str">
        <f ca="1">IF(G$12&gt;CÁLCULO.NúmeroDeFrentes,"",OFFSET(CÁLCULO!$P$12,0,G$12))</f>
        <v>TRÊS CRUZES 1ª ETAPA</v>
      </c>
      <c r="H11" s="328" t="str">
        <f ca="1">IF(H$12&gt;CÁLCULO.NúmeroDeFrentes,"",OFFSET(CÁLCULO!$P$12,0,H$12))</f>
        <v>CESÁRIOS (FAZ. SANTA TEREZINHA) 2ª ETAPA</v>
      </c>
      <c r="I11" s="328" t="str">
        <f ca="1">IF(I$12&gt;CÁLCULO.NúmeroDeFrentes,"",OFFSET(CÁLCULO!$P$12,0,I$12))</f>
        <v>ACESSO CESÁRIOS 3ª ETAPA</v>
      </c>
      <c r="J11" s="328">
        <f ca="1">IF(J$12&gt;CÁLCULO.NúmeroDeFrentes,"",OFFSET(CÁLCULO!$P$12,0,J$12))</f>
        <v>0</v>
      </c>
      <c r="K11" s="328">
        <f ca="1">IF(K$12&gt;CÁLCULO.NúmeroDeFrentes,"",OFFSET(CÁLCULO!$P$12,0,K$12))</f>
        <v>0</v>
      </c>
      <c r="L11" s="328">
        <f ca="1">IF(L$12&gt;CÁLCULO.NúmeroDeFrentes,"",OFFSET(CÁLCULO!$P$12,0,L$12))</f>
        <v>0</v>
      </c>
      <c r="M11" s="328">
        <f ca="1">IF(M$12&gt;CÁLCULO.NúmeroDeFrentes,"",OFFSET(CÁLCULO!$P$12,0,M$12))</f>
        <v>0</v>
      </c>
      <c r="N11" s="328">
        <f ca="1">IF(N$12&gt;CÁLCULO.NúmeroDeFrentes,"",OFFSET(CÁLCULO!$P$12,0,N$12))</f>
        <v>0</v>
      </c>
      <c r="O11" s="328">
        <f ca="1">IF(O$12&gt;CÁLCULO.NúmeroDeFrentes,"",OFFSET(CÁLCULO!$P$12,0,O$12))</f>
        <v>0</v>
      </c>
      <c r="P11" s="328">
        <f ca="1">IF(P$12&gt;CÁLCULO.NúmeroDeFrentes,"",OFFSET(CÁLCULO!$P$12,0,P$12))</f>
        <v>0</v>
      </c>
      <c r="Q11" s="328">
        <f ca="1">IF(Q$12&gt;CÁLCULO.NúmeroDeFrentes,"",OFFSET(CÁLCULO!$P$12,0,Q$12))</f>
        <v>0</v>
      </c>
      <c r="R11" s="328">
        <f ca="1">IF(R$12&gt;CÁLCULO.NúmeroDeFrentes,"",OFFSET(CÁLCULO!$P$12,0,R$12))</f>
        <v>0</v>
      </c>
      <c r="S11" s="328">
        <f ca="1">IF(S$12&gt;CÁLCULO.NúmeroDeFrentes,"",OFFSET(CÁLCULO!$P$12,0,S$12))</f>
        <v>0</v>
      </c>
      <c r="T11" s="328">
        <f ca="1">IF(T$12&gt;CÁLCULO.NúmeroDeFrentes,"",OFFSET(CÁLCULO!$P$12,0,T$12))</f>
        <v>0</v>
      </c>
      <c r="U11" s="328">
        <f ca="1">IF(U$12&gt;CÁLCULO.NúmeroDeFrentes,"",OFFSET(CÁLCULO!$P$12,0,U$12))</f>
        <v>0</v>
      </c>
      <c r="V11" s="328">
        <f ca="1">IF(V$12&gt;CÁLCULO.NúmeroDeFrentes,"",OFFSET(CÁLCULO!$P$12,0,V$12))</f>
        <v>0</v>
      </c>
      <c r="W11" s="328">
        <f ca="1">IF(W$12&gt;CÁLCULO.NúmeroDeFrentes,"",OFFSET(CÁLCULO!$P$12,0,W$12))</f>
        <v>0</v>
      </c>
      <c r="X11" s="328">
        <f ca="1">IF(X$12&gt;CÁLCULO.NúmeroDeFrentes,"",OFFSET(CÁLCULO!$P$12,0,X$12))</f>
        <v>0</v>
      </c>
      <c r="Y11" s="328">
        <f ca="1">IF(Y$12&gt;CÁLCULO.NúmeroDeFrentes,"",OFFSET(CÁLCULO!$P$12,0,Y$12))</f>
        <v>0</v>
      </c>
      <c r="Z11" s="328">
        <f ca="1">IF(Z$12&gt;CÁLCULO.NúmeroDeFrentes,"",OFFSET(CÁLCULO!$P$12,0,Z$12))</f>
        <v>0</v>
      </c>
      <c r="AA11" s="328">
        <f ca="1">IF(AA$12&gt;CÁLCULO.NúmeroDeFrentes,"",OFFSET(CÁLCULO!$P$12,0,AA$12))</f>
        <v>0</v>
      </c>
      <c r="AB11" s="328">
        <f ca="1">IF(AB$12&gt;CÁLCULO.NúmeroDeFrentes,"",OFFSET(CÁLCULO!$P$12,0,AB$12))</f>
        <v>0</v>
      </c>
      <c r="AC11" s="328">
        <f ca="1">IF(AC$12&gt;CÁLCULO.NúmeroDeFrentes,"",OFFSET(CÁLCULO!$P$12,0,AC$12))</f>
        <v>0</v>
      </c>
      <c r="AD11" s="328">
        <f ca="1">IF(AD$12&gt;CÁLCULO.NúmeroDeFrentes,"",OFFSET(CÁLCULO!$P$12,0,AD$12))</f>
        <v>0</v>
      </c>
      <c r="AE11" s="328">
        <f ca="1">IF(AE$12&gt;CÁLCULO.NúmeroDeFrentes,"",OFFSET(CÁLCULO!$P$12,0,AE$12))</f>
        <v>0</v>
      </c>
      <c r="AF11" s="328">
        <f ca="1">IF(AF$12&gt;CÁLCULO.NúmeroDeFrentes,"",OFFSET(CÁLCULO!$P$12,0,AF$12))</f>
        <v>0</v>
      </c>
      <c r="AG11" s="328">
        <f ca="1">IF(AG$12&gt;CÁLCULO.NúmeroDeFrentes,"",OFFSET(CÁLCULO!$P$12,0,AG$12))</f>
        <v>0</v>
      </c>
      <c r="AH11" s="328">
        <f ca="1">IF(AH$12&gt;CÁLCULO.NúmeroDeFrentes,"",OFFSET(CÁLCULO!$P$12,0,AH$12))</f>
        <v>0</v>
      </c>
      <c r="AI11" s="328">
        <f ca="1">IF(AI$12&gt;CÁLCULO.NúmeroDeFrentes,"",OFFSET(CÁLCULO!$P$12,0,AI$12))</f>
        <v>0</v>
      </c>
      <c r="AJ11" s="328">
        <f ca="1">IF(AJ$12&gt;CÁLCULO.NúmeroDeFrentes,"",OFFSET(CÁLCULO!$P$12,0,AJ$12))</f>
        <v>0</v>
      </c>
      <c r="AK11" s="328">
        <f ca="1">IF(AK$12&gt;CÁLCULO.NúmeroDeFrentes,"",OFFSET(CÁLCULO!$P$12,0,AK$12))</f>
        <v>0</v>
      </c>
      <c r="AL11" s="328">
        <f ca="1">IF(AL$12&gt;CÁLCULO.NúmeroDeFrentes,"",OFFSET(CÁLCULO!$P$12,0,AL$12))</f>
        <v>0</v>
      </c>
      <c r="AM11" s="328">
        <f ca="1">IF(AM$12&gt;CÁLCULO.NúmeroDeFrentes,"",OFFSET(CÁLCULO!$P$12,0,AM$12))</f>
        <v>0</v>
      </c>
      <c r="AN11" s="328">
        <f ca="1">IF(AN$12&gt;CÁLCULO.NúmeroDeFrentes,"",OFFSET(CÁLCULO!$P$12,0,AN$12))</f>
        <v>0</v>
      </c>
      <c r="AO11" s="328">
        <f ca="1">IF(AO$12&gt;CÁLCULO.NúmeroDeFrentes,"",OFFSET(CÁLCULO!$P$12,0,AO$12))</f>
        <v>0</v>
      </c>
      <c r="AP11" s="328">
        <f ca="1">IF(AP$12&gt;CÁLCULO.NúmeroDeFrentes,"",OFFSET(CÁLCULO!$P$12,0,AP$12))</f>
        <v>0</v>
      </c>
      <c r="AQ11" s="328">
        <f ca="1">IF(AQ$12&gt;CÁLCULO.NúmeroDeFrentes,"",OFFSET(CÁLCULO!$P$12,0,AQ$12))</f>
        <v>0</v>
      </c>
      <c r="AR11" s="328">
        <f ca="1">IF(AR$12&gt;CÁLCULO.NúmeroDeFrentes,"",OFFSET(CÁLCULO!$P$12,0,AR$12))</f>
        <v>0</v>
      </c>
      <c r="AS11" s="328">
        <f ca="1">IF(AS$12&gt;CÁLCULO.NúmeroDeFrentes,"",OFFSET(CÁLCULO!$P$12,0,AS$12))</f>
        <v>0</v>
      </c>
      <c r="AT11" s="328">
        <f ca="1">IF(AT$12&gt;CÁLCULO.NúmeroDeFrentes,"",OFFSET(CÁLCULO!$P$12,0,AT$12))</f>
        <v>0</v>
      </c>
      <c r="AU11" s="328">
        <f ca="1">IF(AU$12&gt;CÁLCULO.NúmeroDeFrentes,"",OFFSET(CÁLCULO!$P$12,0,AU$12))</f>
        <v>0</v>
      </c>
      <c r="AV11" s="328">
        <f ca="1">IF(AV$12&gt;CÁLCULO.NúmeroDeFrentes,"",OFFSET(CÁLCULO!$P$12,0,AV$12))</f>
        <v>0</v>
      </c>
      <c r="AW11" s="328">
        <f ca="1">IF(AW$12&gt;CÁLCULO.NúmeroDeFrentes,"",OFFSET(CÁLCULO!$P$12,0,AW$12))</f>
        <v>0</v>
      </c>
      <c r="AX11" s="328">
        <f ca="1">IF(AX$12&gt;CÁLCULO.NúmeroDeFrentes,"",OFFSET(CÁLCULO!$P$12,0,AX$12))</f>
        <v>0</v>
      </c>
      <c r="AY11" s="328">
        <f ca="1">IF(AY$12&gt;CÁLCULO.NúmeroDeFrentes,"",OFFSET(CÁLCULO!$P$12,0,AY$12))</f>
        <v>0</v>
      </c>
      <c r="AZ11" s="328">
        <f ca="1">IF(AZ$12&gt;CÁLCULO.NúmeroDeFrentes,"",OFFSET(CÁLCULO!$P$12,0,AZ$12))</f>
        <v>0</v>
      </c>
      <c r="BA11" s="328">
        <f ca="1">IF(BA$12&gt;CÁLCULO.NúmeroDeFrentes,"",OFFSET(CÁLCULO!$P$12,0,BA$12))</f>
        <v>0</v>
      </c>
      <c r="BB11" s="328">
        <f ca="1">IF(BB$12&gt;CÁLCULO.NúmeroDeFrentes,"",OFFSET(CÁLCULO!$P$12,0,BB$12))</f>
        <v>0</v>
      </c>
      <c r="BC11" s="328">
        <f ca="1">IF(BC$12&gt;CÁLCULO.NúmeroDeFrentes,"",OFFSET(CÁLCULO!$P$12,0,BC$12))</f>
        <v>0</v>
      </c>
      <c r="BD11" s="328">
        <f ca="1">IF(BD$12&gt;CÁLCULO.NúmeroDeFrentes,"",OFFSET(CÁLCULO!$P$12,0,BD$12))</f>
        <v>0</v>
      </c>
    </row>
    <row r="12" spans="1:56" ht="12.75" customHeight="1" x14ac:dyDescent="0.2">
      <c r="A12" s="131"/>
      <c r="B12" s="744" t="s">
        <v>268</v>
      </c>
      <c r="C12" s="744" t="s">
        <v>293</v>
      </c>
      <c r="E12" s="329">
        <f ca="1">OFFSET(E12,0,-1)+1</f>
        <v>1</v>
      </c>
      <c r="G12" s="329">
        <f ca="1">OFFSET(G12,0,-1)+1</f>
        <v>1</v>
      </c>
      <c r="H12" s="329">
        <f ca="1">OFFSET(H12,0,-1)+1</f>
        <v>2</v>
      </c>
      <c r="I12" s="329">
        <f t="shared" ref="I12:BD12" ca="1" si="0">OFFSET(I12,0,-1)+1</f>
        <v>3</v>
      </c>
      <c r="J12" s="329">
        <f t="shared" ca="1" si="0"/>
        <v>4</v>
      </c>
      <c r="K12" s="329">
        <f t="shared" ca="1" si="0"/>
        <v>5</v>
      </c>
      <c r="L12" s="329">
        <f t="shared" ca="1" si="0"/>
        <v>6</v>
      </c>
      <c r="M12" s="329">
        <f t="shared" ca="1" si="0"/>
        <v>7</v>
      </c>
      <c r="N12" s="329">
        <f t="shared" ca="1" si="0"/>
        <v>8</v>
      </c>
      <c r="O12" s="329">
        <f t="shared" ca="1" si="0"/>
        <v>9</v>
      </c>
      <c r="P12" s="329">
        <f t="shared" ca="1" si="0"/>
        <v>10</v>
      </c>
      <c r="Q12" s="329">
        <f t="shared" ca="1" si="0"/>
        <v>11</v>
      </c>
      <c r="R12" s="329">
        <f t="shared" ca="1" si="0"/>
        <v>12</v>
      </c>
      <c r="S12" s="329">
        <f t="shared" ca="1" si="0"/>
        <v>13</v>
      </c>
      <c r="T12" s="329">
        <f t="shared" ca="1" si="0"/>
        <v>14</v>
      </c>
      <c r="U12" s="329">
        <f t="shared" ca="1" si="0"/>
        <v>15</v>
      </c>
      <c r="V12" s="329">
        <f t="shared" ca="1" si="0"/>
        <v>16</v>
      </c>
      <c r="W12" s="329">
        <f t="shared" ca="1" si="0"/>
        <v>17</v>
      </c>
      <c r="X12" s="329">
        <f t="shared" ca="1" si="0"/>
        <v>18</v>
      </c>
      <c r="Y12" s="329">
        <f t="shared" ca="1" si="0"/>
        <v>19</v>
      </c>
      <c r="Z12" s="329">
        <f t="shared" ca="1" si="0"/>
        <v>20</v>
      </c>
      <c r="AA12" s="329">
        <f t="shared" ca="1" si="0"/>
        <v>21</v>
      </c>
      <c r="AB12" s="329">
        <f t="shared" ca="1" si="0"/>
        <v>22</v>
      </c>
      <c r="AC12" s="329">
        <f t="shared" ca="1" si="0"/>
        <v>23</v>
      </c>
      <c r="AD12" s="329">
        <f t="shared" ca="1" si="0"/>
        <v>24</v>
      </c>
      <c r="AE12" s="329">
        <f t="shared" ca="1" si="0"/>
        <v>25</v>
      </c>
      <c r="AF12" s="329">
        <f t="shared" ca="1" si="0"/>
        <v>26</v>
      </c>
      <c r="AG12" s="329">
        <f t="shared" ca="1" si="0"/>
        <v>27</v>
      </c>
      <c r="AH12" s="329">
        <f t="shared" ca="1" si="0"/>
        <v>28</v>
      </c>
      <c r="AI12" s="329">
        <f t="shared" ca="1" si="0"/>
        <v>29</v>
      </c>
      <c r="AJ12" s="329">
        <f t="shared" ca="1" si="0"/>
        <v>30</v>
      </c>
      <c r="AK12" s="329">
        <f t="shared" ca="1" si="0"/>
        <v>31</v>
      </c>
      <c r="AL12" s="329">
        <f t="shared" ca="1" si="0"/>
        <v>32</v>
      </c>
      <c r="AM12" s="329">
        <f t="shared" ca="1" si="0"/>
        <v>33</v>
      </c>
      <c r="AN12" s="329">
        <f t="shared" ca="1" si="0"/>
        <v>34</v>
      </c>
      <c r="AO12" s="329">
        <f t="shared" ca="1" si="0"/>
        <v>35</v>
      </c>
      <c r="AP12" s="329">
        <f t="shared" ca="1" si="0"/>
        <v>36</v>
      </c>
      <c r="AQ12" s="329">
        <f t="shared" ca="1" si="0"/>
        <v>37</v>
      </c>
      <c r="AR12" s="329">
        <f t="shared" ca="1" si="0"/>
        <v>38</v>
      </c>
      <c r="AS12" s="329">
        <f t="shared" ca="1" si="0"/>
        <v>39</v>
      </c>
      <c r="AT12" s="329">
        <f t="shared" ca="1" si="0"/>
        <v>40</v>
      </c>
      <c r="AU12" s="329">
        <f t="shared" ca="1" si="0"/>
        <v>41</v>
      </c>
      <c r="AV12" s="329">
        <f t="shared" ca="1" si="0"/>
        <v>42</v>
      </c>
      <c r="AW12" s="329">
        <f t="shared" ca="1" si="0"/>
        <v>43</v>
      </c>
      <c r="AX12" s="329">
        <f t="shared" ca="1" si="0"/>
        <v>44</v>
      </c>
      <c r="AY12" s="329">
        <f t="shared" ca="1" si="0"/>
        <v>45</v>
      </c>
      <c r="AZ12" s="329">
        <f t="shared" ca="1" si="0"/>
        <v>46</v>
      </c>
      <c r="BA12" s="329">
        <f t="shared" ca="1" si="0"/>
        <v>47</v>
      </c>
      <c r="BB12" s="329">
        <f t="shared" ca="1" si="0"/>
        <v>48</v>
      </c>
      <c r="BC12" s="329">
        <f t="shared" ca="1" si="0"/>
        <v>49</v>
      </c>
      <c r="BD12" s="329">
        <f t="shared" ca="1" si="0"/>
        <v>50</v>
      </c>
    </row>
    <row r="13" spans="1:56" x14ac:dyDescent="0.2">
      <c r="B13" s="744"/>
      <c r="C13" s="744"/>
      <c r="E13" s="330"/>
      <c r="G13" s="331"/>
      <c r="H13" s="330"/>
      <c r="I13" s="330"/>
      <c r="J13" s="330"/>
      <c r="K13" s="330"/>
      <c r="L13" s="330"/>
      <c r="M13" s="330" t="s">
        <v>294</v>
      </c>
      <c r="N13" s="330"/>
      <c r="O13" s="330"/>
      <c r="P13" s="330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2"/>
      <c r="AF13" s="331"/>
      <c r="AG13" s="330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330"/>
      <c r="BD13" s="332"/>
    </row>
    <row r="14" spans="1:56" ht="7.5" customHeight="1" x14ac:dyDescent="0.2">
      <c r="A14" s="9"/>
    </row>
    <row r="15" spans="1:56" x14ac:dyDescent="0.2">
      <c r="A15" s="9"/>
      <c r="B15" s="333">
        <v>1</v>
      </c>
      <c r="C15" s="334" t="s">
        <v>271</v>
      </c>
      <c r="E15" s="335"/>
      <c r="G15" s="336" t="str">
        <f ca="1">IF(AUTOEVENTO="MANUAL","A administração local será proporcional a execução dos demais eventos, independente de frentes de obra.","Para aplicação de Adm. Local é necessário definir os eventos manualmente.")</f>
        <v>Para aplicação de Adm. Local é necessário definir os eventos manualmente.</v>
      </c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335"/>
      <c r="Z15" s="335"/>
      <c r="AA15" s="335"/>
      <c r="AB15" s="335"/>
      <c r="AC15" s="335"/>
      <c r="AD15" s="335"/>
      <c r="AE15" s="337"/>
      <c r="AF15" s="336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5"/>
      <c r="BB15" s="335"/>
      <c r="BC15" s="335"/>
      <c r="BD15" s="337"/>
    </row>
    <row r="16" spans="1:56" x14ac:dyDescent="0.2">
      <c r="A16" s="9" t="str">
        <f ca="1">IF(AUTOEVENTO="Manual",IF(OFFSET(EVENTOS!$F$14,CRONOPLE!$B16,0)&gt;0,"F",""),IF(CRONOPLE!B16&lt;=MAX(CÁLCULO!$M$15:$M$33),"F",""))</f>
        <v>F</v>
      </c>
      <c r="B16" s="322">
        <f ca="1">OFFSET(B16,-1,0)+1</f>
        <v>2</v>
      </c>
      <c r="C16" s="323" t="str">
        <f ca="1">IF(AUTOEVENTO="Manual",IF($B16&lt;&gt;1,OFFSET(EVENTOS!$D$14,$B16,0),0),IF(B16&lt;=MAX(CÁLCULO!$M$15:$M$33),VLOOKUP($B16,CÁLCULO!$M$15:$N$33,2,FALSE),0))</f>
        <v>SERVIÇOS PRELIMINARES</v>
      </c>
      <c r="E16" s="324"/>
      <c r="G16" s="324">
        <v>1</v>
      </c>
      <c r="H16" s="324">
        <v>2</v>
      </c>
      <c r="I16" s="324">
        <v>3</v>
      </c>
      <c r="J16" s="324">
        <v>4</v>
      </c>
      <c r="K16" s="324">
        <v>5</v>
      </c>
      <c r="L16" s="324">
        <v>6</v>
      </c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24"/>
      <c r="Y16" s="324"/>
      <c r="Z16" s="324"/>
      <c r="AA16" s="324"/>
      <c r="AB16" s="324"/>
      <c r="AC16" s="324"/>
      <c r="AD16" s="324"/>
      <c r="AE16" s="324"/>
      <c r="AF16" s="324"/>
      <c r="AG16" s="324"/>
      <c r="AH16" s="324"/>
      <c r="AI16" s="324"/>
      <c r="AJ16" s="324"/>
      <c r="AK16" s="324"/>
      <c r="AL16" s="324"/>
      <c r="AM16" s="324"/>
      <c r="AN16" s="324"/>
      <c r="AO16" s="324"/>
      <c r="AP16" s="324"/>
      <c r="AQ16" s="324"/>
      <c r="AR16" s="324"/>
      <c r="AS16" s="324"/>
      <c r="AT16" s="324"/>
      <c r="AU16" s="324"/>
      <c r="AV16" s="324"/>
      <c r="AW16" s="324"/>
      <c r="AX16" s="324"/>
      <c r="AY16" s="324"/>
      <c r="AZ16" s="324"/>
      <c r="BA16" s="324"/>
      <c r="BB16" s="324"/>
      <c r="BC16" s="324"/>
      <c r="BD16" s="324"/>
    </row>
    <row r="17" spans="1:56" x14ac:dyDescent="0.2">
      <c r="A17" s="9" t="str">
        <f ca="1">IF(AUTOEVENTO="Manual",IF(OFFSET(EVENTOS!$F$14,CRONOPLE!$B17,0)&gt;0,"F",""),IF(CRONOPLE!B17&lt;=MAX(CÁLCULO!$M$15:$M$33),"F",""))</f>
        <v>F</v>
      </c>
      <c r="B17" s="322">
        <f ca="1">OFFSET(B17,-1,0)+1</f>
        <v>3</v>
      </c>
      <c r="C17" s="323" t="str">
        <f ca="1">IF(AUTOEVENTO="Manual",IF($B17&lt;&gt;1,OFFSET(EVENTOS!$D$14,$B17,0),0),IF(B17&lt;=MAX(CÁLCULO!$M$15:$M$33),VLOOKUP($B17,CÁLCULO!$M$15:$N$33,2,FALSE),0))</f>
        <v>ADMINISTRAÇÃO LOCAL</v>
      </c>
      <c r="E17" s="324"/>
      <c r="G17" s="324">
        <v>1</v>
      </c>
      <c r="H17" s="324">
        <v>2</v>
      </c>
      <c r="I17" s="324">
        <v>3</v>
      </c>
      <c r="J17" s="324">
        <v>4</v>
      </c>
      <c r="K17" s="324">
        <v>5</v>
      </c>
      <c r="L17" s="324">
        <v>6</v>
      </c>
      <c r="M17" s="324"/>
      <c r="N17" s="324"/>
      <c r="O17" s="324"/>
      <c r="P17" s="324"/>
      <c r="Q17" s="324"/>
      <c r="R17" s="324"/>
      <c r="S17" s="324"/>
      <c r="T17" s="324"/>
      <c r="U17" s="324"/>
      <c r="V17" s="324"/>
      <c r="W17" s="324"/>
      <c r="X17" s="324"/>
      <c r="Y17" s="324"/>
      <c r="Z17" s="324"/>
      <c r="AA17" s="324"/>
      <c r="AB17" s="324"/>
      <c r="AC17" s="324"/>
      <c r="AD17" s="324"/>
      <c r="AE17" s="324"/>
      <c r="AF17" s="324"/>
      <c r="AG17" s="324"/>
      <c r="AH17" s="324"/>
      <c r="AI17" s="324"/>
      <c r="AJ17" s="324"/>
      <c r="AK17" s="324"/>
      <c r="AL17" s="324"/>
      <c r="AM17" s="324"/>
      <c r="AN17" s="324"/>
      <c r="AO17" s="324"/>
      <c r="AP17" s="324"/>
      <c r="AQ17" s="324"/>
      <c r="AR17" s="324"/>
      <c r="AS17" s="324"/>
      <c r="AT17" s="324"/>
      <c r="AU17" s="324"/>
      <c r="AV17" s="324"/>
      <c r="AW17" s="324"/>
      <c r="AX17" s="324"/>
      <c r="AY17" s="324"/>
      <c r="AZ17" s="324"/>
      <c r="BA17" s="324"/>
      <c r="BB17" s="324"/>
      <c r="BC17" s="324"/>
      <c r="BD17" s="324"/>
    </row>
    <row r="18" spans="1:56" x14ac:dyDescent="0.2">
      <c r="A18" s="9" t="str">
        <f ca="1">IF(AUTOEVENTO="Manual",IF(OFFSET(EVENTOS!$F$14,CRONOPLE!$B18,0)&gt;0,"F",""),IF(CRONOPLE!B18&lt;=MAX(CÁLCULO!$M$15:$M$33),"F",""))</f>
        <v>F</v>
      </c>
      <c r="B18" s="322">
        <f ca="1">OFFSET(B18,-1,0)+1</f>
        <v>4</v>
      </c>
      <c r="C18" s="323" t="str">
        <f ca="1">IF(AUTOEVENTO="Manual",IF($B18&lt;&gt;1,OFFSET(EVENTOS!$D$14,$B18,0),0),IF(B18&lt;=MAX(CÁLCULO!$M$15:$M$33),VLOOKUP($B18,CÁLCULO!$M$15:$N$33,2,FALSE),0))</f>
        <v>PAVIMENTAÇÃO DE VIAS</v>
      </c>
      <c r="E18" s="324"/>
      <c r="G18" s="324">
        <v>1</v>
      </c>
      <c r="H18" s="324">
        <v>2</v>
      </c>
      <c r="I18" s="324">
        <v>3</v>
      </c>
      <c r="J18" s="324">
        <v>4</v>
      </c>
      <c r="K18" s="324">
        <v>5</v>
      </c>
      <c r="L18" s="324">
        <v>6</v>
      </c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4"/>
      <c r="Z18" s="324"/>
      <c r="AA18" s="324"/>
      <c r="AB18" s="324"/>
      <c r="AC18" s="324"/>
      <c r="AD18" s="324"/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324"/>
      <c r="BC18" s="324"/>
      <c r="BD18" s="324"/>
    </row>
    <row r="19" spans="1:56" x14ac:dyDescent="0.2">
      <c r="A19" s="9" t="str">
        <f ca="1">IF(AUTOEVENTO="Manual",IF(OFFSET(EVENTOS!$F$14,CRONOPLE!$B19,0)&gt;0,"F",""),IF(CRONOPLE!B19&lt;=MAX(CÁLCULO!$M$15:$M$33),"F",""))</f>
        <v>F</v>
      </c>
      <c r="B19" s="322">
        <f ca="1">OFFSET(B19,-1,0)+1</f>
        <v>5</v>
      </c>
      <c r="C19" s="323" t="str">
        <f ca="1">IF(AUTOEVENTO="Manual",IF($B19&lt;&gt;1,OFFSET(EVENTOS!$D$14,$B19,0),0),IF(B19&lt;=MAX(CÁLCULO!$M$15:$M$33),VLOOKUP($B19,CÁLCULO!$M$15:$N$33,2,FALSE),0))</f>
        <v>DRENAGEM SUPERFICIAL</v>
      </c>
      <c r="E19" s="324"/>
      <c r="G19" s="324">
        <v>1</v>
      </c>
      <c r="H19" s="324">
        <v>3</v>
      </c>
      <c r="I19" s="324">
        <v>3</v>
      </c>
      <c r="J19" s="324"/>
      <c r="K19" s="324"/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4"/>
      <c r="X19" s="324"/>
      <c r="Y19" s="324"/>
      <c r="Z19" s="324"/>
      <c r="AA19" s="324"/>
      <c r="AB19" s="324"/>
      <c r="AC19" s="324"/>
      <c r="AD19" s="324"/>
      <c r="AE19" s="324"/>
      <c r="AF19" s="324"/>
      <c r="AG19" s="324"/>
      <c r="AH19" s="324"/>
      <c r="AI19" s="324"/>
      <c r="AJ19" s="324"/>
      <c r="AK19" s="324"/>
      <c r="AL19" s="324"/>
      <c r="AM19" s="324"/>
      <c r="AN19" s="324"/>
      <c r="AO19" s="324"/>
      <c r="AP19" s="324"/>
      <c r="AQ19" s="324"/>
      <c r="AR19" s="324"/>
      <c r="AS19" s="324"/>
      <c r="AT19" s="324"/>
      <c r="AU19" s="324"/>
      <c r="AV19" s="324"/>
      <c r="AW19" s="324"/>
      <c r="AX19" s="324"/>
      <c r="AY19" s="324"/>
      <c r="AZ19" s="324"/>
      <c r="BA19" s="324"/>
      <c r="BB19" s="324"/>
      <c r="BC19" s="324"/>
      <c r="BD19" s="324"/>
    </row>
    <row r="20" spans="1:56" x14ac:dyDescent="0.2">
      <c r="A20" s="9" t="str">
        <f ca="1">IF(AUTOEVENTO="Manual",IF(OFFSET(EVENTOS!$F$14,CRONOPLE!$B20,0)&gt;0,"F",""),IF(CRONOPLE!B20&lt;=MAX(CÁLCULO!$M$15:$M$33),"F",""))</f>
        <v>F</v>
      </c>
      <c r="B20" s="322">
        <f ca="1">OFFSET(B20,-1,0)+1</f>
        <v>6</v>
      </c>
      <c r="C20" s="323" t="str">
        <f ca="1">IF(AUTOEVENTO="Manual",IF($B20&lt;&gt;1,OFFSET(EVENTOS!$D$14,$B20,0),0),IF(B20&lt;=MAX(CÁLCULO!$M$15:$M$33),VLOOKUP($B20,CÁLCULO!$M$15:$N$33,2,FALSE),0))</f>
        <v>SINALIZAÇÃO VIÁRIA</v>
      </c>
      <c r="E20" s="324"/>
      <c r="G20" s="324">
        <v>1</v>
      </c>
      <c r="H20" s="324">
        <v>3</v>
      </c>
      <c r="I20" s="324">
        <v>3</v>
      </c>
      <c r="J20" s="324"/>
      <c r="K20" s="324"/>
      <c r="L20" s="324"/>
      <c r="M20" s="324"/>
      <c r="N20" s="324"/>
      <c r="O20" s="324"/>
      <c r="P20" s="324"/>
      <c r="Q20" s="324"/>
      <c r="R20" s="324"/>
      <c r="S20" s="324"/>
      <c r="T20" s="324"/>
      <c r="U20" s="324"/>
      <c r="V20" s="324"/>
      <c r="W20" s="324"/>
      <c r="X20" s="324"/>
      <c r="Y20" s="324"/>
      <c r="Z20" s="324"/>
      <c r="AA20" s="324"/>
      <c r="AB20" s="324"/>
      <c r="AC20" s="324"/>
      <c r="AD20" s="324"/>
      <c r="AE20" s="324"/>
      <c r="AF20" s="324"/>
      <c r="AG20" s="324"/>
      <c r="AH20" s="324"/>
      <c r="AI20" s="324"/>
      <c r="AJ20" s="324"/>
      <c r="AK20" s="324"/>
      <c r="AL20" s="324"/>
      <c r="AM20" s="324"/>
      <c r="AN20" s="324"/>
      <c r="AO20" s="324"/>
      <c r="AP20" s="324"/>
      <c r="AQ20" s="324"/>
      <c r="AR20" s="324"/>
      <c r="AS20" s="324"/>
      <c r="AT20" s="324"/>
      <c r="AU20" s="324"/>
      <c r="AV20" s="324"/>
      <c r="AW20" s="324"/>
      <c r="AX20" s="324"/>
      <c r="AY20" s="324"/>
      <c r="AZ20" s="324"/>
      <c r="BA20" s="324"/>
      <c r="BB20" s="324"/>
      <c r="BC20" s="324"/>
      <c r="BD20" s="324"/>
    </row>
    <row r="21" spans="1:56" ht="5.0999999999999996" customHeight="1" x14ac:dyDescent="0.2">
      <c r="B21" s="587"/>
      <c r="C21" s="588"/>
      <c r="E21" s="338"/>
      <c r="F21" s="338"/>
      <c r="G21" s="587"/>
      <c r="H21" s="589"/>
      <c r="I21" s="589"/>
      <c r="J21" s="589"/>
      <c r="K21" s="589"/>
      <c r="L21" s="589"/>
      <c r="M21" s="589"/>
      <c r="N21" s="589"/>
      <c r="O21" s="589"/>
      <c r="P21" s="589"/>
      <c r="Q21" s="589"/>
      <c r="R21" s="589"/>
      <c r="S21" s="589"/>
      <c r="T21" s="589"/>
      <c r="U21" s="589"/>
      <c r="V21" s="589"/>
      <c r="W21" s="589"/>
      <c r="X21" s="589"/>
      <c r="Y21" s="589"/>
      <c r="Z21" s="589"/>
      <c r="AA21" s="589"/>
      <c r="AB21" s="589"/>
      <c r="AC21" s="589"/>
      <c r="AD21" s="589"/>
      <c r="AE21" s="588"/>
      <c r="AF21" s="587"/>
      <c r="AG21" s="589"/>
      <c r="AH21" s="589"/>
      <c r="AI21" s="589"/>
      <c r="AJ21" s="589"/>
      <c r="AK21" s="589"/>
      <c r="AL21" s="589"/>
      <c r="AM21" s="589"/>
      <c r="AN21" s="589"/>
      <c r="AO21" s="589"/>
      <c r="AP21" s="589"/>
      <c r="AQ21" s="589"/>
      <c r="AR21" s="589"/>
      <c r="AS21" s="589"/>
      <c r="AT21" s="589"/>
      <c r="AU21" s="589"/>
      <c r="AV21" s="589"/>
      <c r="AW21" s="589"/>
      <c r="AX21" s="589"/>
      <c r="AY21" s="589"/>
      <c r="AZ21" s="589"/>
      <c r="BA21" s="589"/>
      <c r="BB21" s="589"/>
      <c r="BC21" s="589"/>
      <c r="BD21" s="588"/>
    </row>
  </sheetData>
  <sheetProtection password="BD1F" sheet="1" objects="1" scenarios="1" autoFilter="0"/>
  <mergeCells count="2">
    <mergeCell ref="B12:B13"/>
    <mergeCell ref="C12:C13"/>
  </mergeCells>
  <phoneticPr fontId="40" type="noConversion"/>
  <conditionalFormatting sqref="E1 G1:BD1">
    <cfRule type="expression" dxfId="61" priority="104" stopIfTrue="1">
      <formula>IF(OR(E$12&gt;CÁLCULO.NúmeroDeFrentes,ACOMPANHAMENTO="BM"),TRUE,CRONOPLE.ValorDoEvento=0)</formula>
    </cfRule>
  </conditionalFormatting>
  <conditionalFormatting sqref="E16 G16:BD16">
    <cfRule type="expression" dxfId="60" priority="5" stopIfTrue="1">
      <formula>IF(OR(E$12&gt;CÁLCULO.NúmeroDeFrentes,ACOMPANHAMENTO="BM"),TRUE,CRONOPLE.ValorDoEvento=0)</formula>
    </cfRule>
  </conditionalFormatting>
  <conditionalFormatting sqref="E17 G17:BD17">
    <cfRule type="expression" dxfId="59" priority="4" stopIfTrue="1">
      <formula>IF(OR(E$12&gt;CÁLCULO.NúmeroDeFrentes,ACOMPANHAMENTO="BM"),TRUE,CRONOPLE.ValorDoEvento=0)</formula>
    </cfRule>
  </conditionalFormatting>
  <conditionalFormatting sqref="E18 G18:BD18">
    <cfRule type="expression" dxfId="58" priority="3" stopIfTrue="1">
      <formula>IF(OR(E$12&gt;CÁLCULO.NúmeroDeFrentes,ACOMPANHAMENTO="BM"),TRUE,CRONOPLE.ValorDoEvento=0)</formula>
    </cfRule>
  </conditionalFormatting>
  <conditionalFormatting sqref="E19 G19:BD19">
    <cfRule type="expression" dxfId="57" priority="2" stopIfTrue="1">
      <formula>IF(OR(E$12&gt;CÁLCULO.NúmeroDeFrentes,ACOMPANHAMENTO="BM"),TRUE,CRONOPLE.ValorDoEvento=0)</formula>
    </cfRule>
  </conditionalFormatting>
  <conditionalFormatting sqref="E20 G20:BD20">
    <cfRule type="expression" dxfId="56" priority="1" stopIfTrue="1">
      <formula>IF(OR(E$12&gt;CÁLCULO.NúmeroDeFrentes,ACOMPANHAMENTO="BM"),TRUE,CRONOPLE.ValorDoEvento=0)</formula>
    </cfRule>
  </conditionalFormatting>
  <dataValidations count="1">
    <dataValidation type="whole" operator="greaterThan" allowBlank="1" showErrorMessage="1" sqref="E1:E5 G1:BD5 E16:E20 G16:BD20">
      <formula1>0</formula1>
      <formula2>0</formula2>
    </dataValidation>
  </dataValidations>
  <pageMargins left="0.78740157480314965" right="0.78740157480314965" top="0.78740157480314965" bottom="0.78740157480314965" header="0.59055118110236227" footer="0.59055118110236227"/>
  <pageSetup paperSize="9" scale="63" firstPageNumber="0" orientation="landscape" horizontalDpi="300" verticalDpi="300" r:id="rId1"/>
  <headerFooter alignWithMargins="0">
    <oddHeader>&amp;L_&amp;C&amp;14I</oddHeader>
    <oddFooter>&amp;LPMv3.0.4&amp;R&amp;P /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7">
    <pageSetUpPr fitToPage="1"/>
  </sheetPr>
  <dimension ref="A1:AE36"/>
  <sheetViews>
    <sheetView showGridLines="0" tabSelected="1" topLeftCell="C1" zoomScale="90" zoomScaleNormal="90" zoomScaleSheetLayoutView="90" workbookViewId="0">
      <pane xSplit="5" ySplit="13" topLeftCell="I14" activePane="bottomRight" state="frozen"/>
      <selection activeCell="C1" sqref="C1"/>
      <selection pane="topRight" activeCell="H1" sqref="H1"/>
      <selection pane="bottomLeft" activeCell="C14" sqref="C14"/>
      <selection pane="bottomRight" activeCell="I15" sqref="I15"/>
    </sheetView>
  </sheetViews>
  <sheetFormatPr defaultRowHeight="12.75" x14ac:dyDescent="0.2"/>
  <cols>
    <col min="1" max="1" width="15.85546875" hidden="1" customWidth="1"/>
    <col min="2" max="2" width="10.42578125" hidden="1" customWidth="1"/>
    <col min="3" max="3" width="3.7109375" customWidth="1"/>
    <col min="4" max="4" width="6.7109375" customWidth="1"/>
    <col min="5" max="5" width="18.7109375" customWidth="1"/>
    <col min="6" max="6" width="28.7109375" customWidth="1"/>
    <col min="7" max="7" width="35.7109375" customWidth="1"/>
    <col min="8" max="8" width="15.7109375" customWidth="1"/>
    <col min="9" max="9" width="12.7109375" customWidth="1"/>
    <col min="10" max="10" width="7.7109375" customWidth="1"/>
    <col min="11" max="15" width="16.7109375" customWidth="1"/>
    <col min="16" max="17" width="5.7109375" customWidth="1"/>
    <col min="18" max="18" width="35.7109375" customWidth="1"/>
    <col min="19" max="19" width="1.7109375" customWidth="1"/>
    <col min="20" max="21" width="16.7109375" customWidth="1"/>
    <col min="22" max="22" width="13.7109375" customWidth="1"/>
    <col min="23" max="24" width="16.7109375" customWidth="1"/>
    <col min="25" max="25" width="1.7109375" customWidth="1"/>
    <col min="26" max="28" width="9.140625" hidden="1" customWidth="1"/>
    <col min="29" max="29" width="3.7109375" hidden="1" customWidth="1"/>
    <col min="30" max="30" width="13.42578125" hidden="1" customWidth="1"/>
    <col min="31" max="31" width="9.140625" hidden="1" customWidth="1"/>
  </cols>
  <sheetData>
    <row r="1" spans="1:31" ht="30" customHeight="1" x14ac:dyDescent="0.2">
      <c r="F1" s="351" t="s">
        <v>305</v>
      </c>
      <c r="I1" s="10"/>
      <c r="J1" s="10"/>
    </row>
    <row r="2" spans="1:31" x14ac:dyDescent="0.2">
      <c r="Z2" s="123" t="s">
        <v>306</v>
      </c>
      <c r="AA2" s="352" t="s">
        <v>307</v>
      </c>
      <c r="AB2" s="90"/>
    </row>
    <row r="3" spans="1:31" x14ac:dyDescent="0.2">
      <c r="D3" s="689" t="s">
        <v>147</v>
      </c>
      <c r="E3" s="689"/>
      <c r="F3" s="107" t="s">
        <v>148</v>
      </c>
      <c r="G3" s="689" t="s">
        <v>149</v>
      </c>
      <c r="H3" s="689"/>
      <c r="I3" s="689"/>
      <c r="J3" s="764" t="s">
        <v>308</v>
      </c>
      <c r="K3" s="764"/>
      <c r="L3" s="764"/>
      <c r="M3" s="765" t="s">
        <v>309</v>
      </c>
      <c r="N3" s="765"/>
      <c r="O3" s="765"/>
      <c r="Z3" s="127">
        <f ca="1">MAX(Z7:AB7)</f>
        <v>3.9997156461424786E-2</v>
      </c>
      <c r="AA3" s="353">
        <f ca="1">IF(OR($O$23=ORÇAMENTO.SumINVMANUAL+QCI.SumINVMANUAL,$O$23=0),0,MIN(MAX(0,($Z$3*$O$23-ORÇAMENTO.SumCPMANUAL-QCI.SumCPMANUAL)/($O$23-ORÇAMENTO.SumINVMANUAL-QCI.SumINVMANUAL)),1))</f>
        <v>3.9997156461424786E-2</v>
      </c>
      <c r="AB3" s="115"/>
    </row>
    <row r="4" spans="1:31" x14ac:dyDescent="0.2">
      <c r="D4" s="698" t="str">
        <f>Import.CR</f>
        <v>1090.502-01/2023</v>
      </c>
      <c r="E4" s="698"/>
      <c r="F4" s="68" t="str">
        <f>Import.SICONV</f>
        <v>950338/2023</v>
      </c>
      <c r="G4" s="698" t="str">
        <f>Import.Proponente</f>
        <v>PREFEITURA MUNICIPAL DE CONCEIÇÃO DOS OUROS</v>
      </c>
      <c r="H4" s="698"/>
      <c r="I4" s="698"/>
      <c r="J4" s="766" t="str">
        <f>Import.Município</f>
        <v>CONCEIÇÃO DOS OUROS/MG</v>
      </c>
      <c r="K4" s="766"/>
      <c r="L4" s="766"/>
      <c r="M4" s="765"/>
      <c r="N4" s="765"/>
      <c r="O4" s="765"/>
      <c r="R4" s="162"/>
      <c r="Z4" s="115"/>
      <c r="AA4" s="115"/>
      <c r="AB4" s="115"/>
    </row>
    <row r="5" spans="1:31" ht="5.0999999999999996" customHeight="1" x14ac:dyDescent="0.2">
      <c r="M5" s="341"/>
      <c r="N5" s="96"/>
      <c r="O5" s="55"/>
      <c r="Z5" s="123"/>
      <c r="AA5" s="16"/>
      <c r="AB5" s="123"/>
    </row>
    <row r="6" spans="1:31" x14ac:dyDescent="0.2">
      <c r="D6" s="689" t="s">
        <v>204</v>
      </c>
      <c r="E6" s="689"/>
      <c r="F6" s="689"/>
      <c r="G6" s="689"/>
      <c r="H6" s="689"/>
      <c r="I6" s="689"/>
      <c r="J6" s="689"/>
      <c r="K6" s="689"/>
      <c r="L6" s="354" t="s">
        <v>212</v>
      </c>
      <c r="M6" s="107" t="str">
        <f>IF(import.recurso="FGTS","FINANCIAMENTO","REPASSE")</f>
        <v>REPASSE</v>
      </c>
      <c r="N6" s="107" t="s">
        <v>310</v>
      </c>
      <c r="O6" s="107" t="s">
        <v>311</v>
      </c>
      <c r="Z6" s="123" t="s">
        <v>312</v>
      </c>
      <c r="AA6" s="16" t="s">
        <v>313</v>
      </c>
      <c r="AB6" s="123" t="s">
        <v>314</v>
      </c>
    </row>
    <row r="7" spans="1:31" ht="12.75" customHeight="1" x14ac:dyDescent="0.2">
      <c r="C7" s="678" t="s">
        <v>211</v>
      </c>
      <c r="D7" s="698" t="str">
        <f>Import.Apelido</f>
        <v>Adequação de Estradas Vicinais</v>
      </c>
      <c r="E7" s="698"/>
      <c r="F7" s="698"/>
      <c r="G7" s="698"/>
      <c r="H7" s="698"/>
      <c r="I7" s="698"/>
      <c r="J7" s="698"/>
      <c r="K7" s="698"/>
      <c r="L7" s="355" t="str">
        <f>import.recurso</f>
        <v>OGU</v>
      </c>
      <c r="M7" s="356">
        <f>Import.Repasse</f>
        <v>481104</v>
      </c>
      <c r="N7" s="356">
        <f>Import.Contrapartida</f>
        <v>18896</v>
      </c>
      <c r="O7" s="356">
        <f>M7+N7</f>
        <v>500000</v>
      </c>
      <c r="Z7" s="127">
        <f>ROUND(Import.CPMinPerc,4)</f>
        <v>1E-3</v>
      </c>
      <c r="AA7" s="127">
        <f ca="1">IF($O$23=0,0,Import.CPMinAbsoluta/$O$23)</f>
        <v>1.9954164661665154E-8</v>
      </c>
      <c r="AB7" s="127">
        <f ca="1">IF($O$23=0,0,($O$23-$AB$23-Import.Repasse)/($O$23))</f>
        <v>3.9997156461424786E-2</v>
      </c>
    </row>
    <row r="8" spans="1:31" x14ac:dyDescent="0.2">
      <c r="C8" s="678"/>
      <c r="D8" s="115"/>
      <c r="E8" s="115"/>
      <c r="F8" s="357"/>
      <c r="G8" s="115"/>
      <c r="H8" s="115"/>
      <c r="I8" s="115"/>
      <c r="J8" s="115"/>
      <c r="K8" s="115"/>
      <c r="L8" s="115"/>
      <c r="M8" s="115"/>
      <c r="N8" s="115"/>
      <c r="O8" s="115"/>
    </row>
    <row r="9" spans="1:31" ht="12.75" customHeight="1" x14ac:dyDescent="0.2">
      <c r="C9" s="678"/>
      <c r="E9" s="16"/>
      <c r="G9" s="762" t="str">
        <f ca="1">CHOOSE(1+LOG(1+2*(AND($O$23&gt;0,$M$24&gt;Import.CPMaxPerc,Import.CPMaxPerc&gt;0))+4*(OR(AND($O$23&gt;0,$M$24&lt;QCI!$Z$7),$M$23&lt;ROUND(Import.CPMinAbsoluta,2)))+8*(OR($L$10&lt;0,$M$10&lt;0))+16*(COUNTIF($L$13:$L$23,"&lt;0")&gt;0)+32*(OFFSET($A$23,-1,0)&lt;OFFSET(ORÇAMENTO!$E$33,-1,0)),2),"","ERRO: CONTRAPARTIDA MAIOR QUE A MÁXIMA","ERRO: CONTRAPARTIDA MENOR QUE A MÍNIMA","ERRO: SALDO NEGATIVO","ERRO: VALORES DE REPASSE NEGATIVOS","ERRO: NÚMERO DE LINHAS DO QCI INSUFICIENTE. CLIQUE NO BOTÃO ADICIONAR LINHAS")</f>
        <v>ERRO: SALDO NEGATIVO</v>
      </c>
      <c r="H9" s="762"/>
      <c r="I9" s="762"/>
      <c r="J9" s="762"/>
      <c r="K9" s="763" t="s">
        <v>315</v>
      </c>
      <c r="L9" s="358" t="str">
        <f>$L$13</f>
        <v>Repasse (R$)</v>
      </c>
      <c r="M9" s="358" t="s">
        <v>240</v>
      </c>
      <c r="AD9" s="760"/>
      <c r="AE9" s="760"/>
    </row>
    <row r="10" spans="1:31" ht="12.75" customHeight="1" x14ac:dyDescent="0.2">
      <c r="A10" s="759" t="s">
        <v>316</v>
      </c>
      <c r="C10" s="678"/>
      <c r="G10" s="762"/>
      <c r="H10" s="762"/>
      <c r="I10" s="762"/>
      <c r="J10" s="762"/>
      <c r="K10" s="763"/>
      <c r="L10" s="359">
        <f ca="1">Import.Repasse-L23</f>
        <v>0</v>
      </c>
      <c r="M10" s="360">
        <f ca="1">Import.Contrapartida-M23</f>
        <v>-1148.5200000000004</v>
      </c>
      <c r="Z10" s="704" t="s">
        <v>218</v>
      </c>
      <c r="AA10" s="704"/>
      <c r="AB10" s="704"/>
      <c r="AD10" s="760" t="s">
        <v>317</v>
      </c>
      <c r="AE10" s="760"/>
    </row>
    <row r="11" spans="1:31" ht="20.100000000000001" customHeight="1" x14ac:dyDescent="0.2">
      <c r="A11" s="759"/>
      <c r="C11" s="678"/>
      <c r="Z11" s="135" t="s">
        <v>318</v>
      </c>
      <c r="AA11" s="135" t="s">
        <v>240</v>
      </c>
      <c r="AB11" s="136" t="s">
        <v>241</v>
      </c>
    </row>
    <row r="12" spans="1:31" hidden="1" x14ac:dyDescent="0.2">
      <c r="A12">
        <f ca="1">IF(NOT(ISBLANK(QCI.DescManual)),OFFSET(A12,-1,0),D12)</f>
        <v>-1</v>
      </c>
      <c r="B12" t="str">
        <f ca="1">IF(NOT(ISBLANK(QCI.DescManual)),IF(QCI.Divisao="Calculado","Manual","SemiAuto"),IF(ISERROR(MATCH($A12,ORÇAMENTO!$E$15:$E$33,0)),"Branco","Automático"))</f>
        <v>Branco</v>
      </c>
      <c r="C12" t="str">
        <f ca="1">IF(O12&gt;0,"F","")</f>
        <v/>
      </c>
      <c r="D12" s="361">
        <f>ROW()-ROW($D$13)</f>
        <v>-1</v>
      </c>
      <c r="E12" s="143"/>
      <c r="F12" s="362"/>
      <c r="G12" s="642" t="str">
        <f ca="1">IF(OR($B12="Manual",$B12="SemiAuto"),QCI.DescManual,IF($B12="Automático",INDEX(ORÇAMENTO!$R$15:$R$33,MATCH($A12,ORÇAMENTO!$E$15:$E$33,0)),""))</f>
        <v/>
      </c>
      <c r="H12" s="143"/>
      <c r="I12" s="641"/>
      <c r="J12" s="363" t="str">
        <f ca="1">IF(AND(ISBLANK(E12),ISBLANK(F12)),"",VLOOKUP($F12,OFFSET(DADOS!$A$2,1,MATCH(QCI!$E12,DADOS!$2:$2,0)-1,100,50),2,FALSE))</f>
        <v/>
      </c>
      <c r="K12" s="640" t="str">
        <f ca="1">IF(OR($B12="Manual",$B12="SemiAuto"),QCI.LoteManual,IF($B12="Automático",IF(TIPOORCAMENTO="Licitado",Import.CTEF,"LOTE 1"),""))</f>
        <v/>
      </c>
      <c r="L12" s="364">
        <f ca="1">ROUND($O12,2)-ROUND($M12,2)-ROUND($N12,2)</f>
        <v>0</v>
      </c>
      <c r="M12" s="365">
        <f ca="1">ROUND($AA12,2)-ROUND($AE12,2)</f>
        <v>0</v>
      </c>
      <c r="N12" s="366">
        <f ca="1">ROUND($AB12,2)</f>
        <v>0</v>
      </c>
      <c r="O12" s="367">
        <f ca="1">IF($B12="Branco",0,IF(OR($B12="Manual",$B12="SemiAuto"),QCI.InvManual,INDEX(ORÇAMENTO!X$15:X$33,MATCH($A12,ORÇAMENTO!$E$15:$E$33,0))))</f>
        <v>0</v>
      </c>
      <c r="P12" s="613"/>
      <c r="R12" s="643"/>
      <c r="T12" s="644"/>
      <c r="U12" s="369"/>
      <c r="V12" s="645" t="s">
        <v>319</v>
      </c>
      <c r="W12" s="370">
        <f ca="1">$O12</f>
        <v>0</v>
      </c>
      <c r="X12" s="371">
        <v>0</v>
      </c>
      <c r="Z12" s="372">
        <f ca="1">$O12-$AA12-$AB12</f>
        <v>0</v>
      </c>
      <c r="AA12">
        <f ca="1">IF($B12="Branco",0,IF($B12="Manual",QCI.CPManual,IF($B12="SemiAuto",ROUND(QCI!$AA$3*QCI.InvManual,2),INDEX(ORÇAMENTO!$AA$15:$AA$33,MATCH($A12,ORÇAMENTO!$E$15:$E$33,0)))))</f>
        <v>0</v>
      </c>
      <c r="AB12">
        <f ca="1">IF($B12="Branco",0,IF($B12="Manual",QCI.OutrosManual,IF($B12="SemiAuto",0,INDEX(ORÇAMENTO!$AB$15:$AB$33,MATCH($A12,ORÇAMENTO!$E$15:$E$33,0)))))</f>
        <v>0</v>
      </c>
      <c r="AD12" s="373" t="b">
        <f ca="1">AND($AA$3&gt;0,$AA$3&lt;1,$O12&gt;0,OR($B12="Automático",$B12="SemiAuto"),OR(QCI!$Z$3=QCI!$Z$7,QCI!$Z$3=QCI!$AA$7,QCI!$Z$3=QCI!$AB$7))</f>
        <v>0</v>
      </c>
      <c r="AE12" s="373">
        <f ca="1">IF(AND($AD12,$O12&gt;0,COUNTIF(OFFSET($AD12,1,0):$AD$23,TRUE)=0),CHOOSE(1+LOG(1+2*(QCI!$Z$3=QCI!$Z$7)+4*(QCI!$Z$3=QCI!$AA$7)+8*(QCI!$Z$3=QCI!$AB$7),2),0,$AA$23-ROUND(Import.CPMinPerc*$O$23,2),$AA$23-Import.CPMinAbsoluta,Import.Repasse-$Z$23),0)</f>
        <v>0</v>
      </c>
    </row>
    <row r="13" spans="1:31" ht="25.5" customHeight="1" x14ac:dyDescent="0.2">
      <c r="A13" s="374">
        <v>0</v>
      </c>
      <c r="B13" s="375" t="s">
        <v>320</v>
      </c>
      <c r="C13" s="131" t="s">
        <v>219</v>
      </c>
      <c r="D13" s="132" t="s">
        <v>197</v>
      </c>
      <c r="E13" s="132" t="s">
        <v>321</v>
      </c>
      <c r="F13" s="132" t="s">
        <v>322</v>
      </c>
      <c r="G13" s="132" t="s">
        <v>323</v>
      </c>
      <c r="H13" s="132" t="s">
        <v>163</v>
      </c>
      <c r="I13" s="132" t="s">
        <v>205</v>
      </c>
      <c r="J13" s="132" t="s">
        <v>324</v>
      </c>
      <c r="K13" s="132" t="s">
        <v>325</v>
      </c>
      <c r="L13" s="376" t="str">
        <f>IF(import.recurso="FGTS","Financiamento (R$)","Repasse (R$)")</f>
        <v>Repasse (R$)</v>
      </c>
      <c r="M13" s="377" t="s">
        <v>326</v>
      </c>
      <c r="N13" s="378" t="s">
        <v>241</v>
      </c>
      <c r="O13" s="132" t="s">
        <v>327</v>
      </c>
      <c r="R13" s="379" t="s">
        <v>323</v>
      </c>
      <c r="T13" s="379" t="s">
        <v>325</v>
      </c>
      <c r="U13" s="197" t="s">
        <v>327</v>
      </c>
      <c r="V13" s="380" t="s">
        <v>328</v>
      </c>
      <c r="W13" s="196" t="s">
        <v>326</v>
      </c>
      <c r="X13" s="198" t="s">
        <v>241</v>
      </c>
    </row>
    <row r="14" spans="1:31" x14ac:dyDescent="0.2">
      <c r="A14">
        <f t="shared" ref="A14:A22" ca="1" si="0">IF(NOT(ISBLANK(QCI.DescManual)),OFFSET(A14,-1,0),D14)</f>
        <v>1</v>
      </c>
      <c r="B14" t="str">
        <f ca="1">IF(NOT(ISBLANK(QCI.DescManual)),IF(QCI.Divisao="Calculado","Manual","SemiAuto"),IF(ISERROR(MATCH($A14,ORÇAMENTO!$E$15:$E$33,0)),"Branco","Automático"))</f>
        <v>Automático</v>
      </c>
      <c r="C14" t="str">
        <f t="shared" ref="C14:C21" ca="1" si="1">IF(O14&gt;0,"F","")</f>
        <v>F</v>
      </c>
      <c r="D14" s="361">
        <f t="shared" ref="D14:D21" si="2">ROW()-ROW($D$13)</f>
        <v>1</v>
      </c>
      <c r="E14" s="362" t="s">
        <v>10</v>
      </c>
      <c r="F14" s="362" t="s">
        <v>81</v>
      </c>
      <c r="G14" s="642" t="str">
        <f ca="1">IF(OR($B14="Manual",$B14="SemiAuto"),QCI.DescManual,IF($B14="Automático",INDEX(ORÇAMENTO!$R$15:$R$33,MATCH($A14,ORÇAMENTO!$E$15:$E$33,0)),""))</f>
        <v xml:space="preserve">Adequação de Estradas Vicinais  </v>
      </c>
      <c r="H14" s="143" t="s">
        <v>443</v>
      </c>
      <c r="I14" s="641">
        <v>3528.02</v>
      </c>
      <c r="J14" s="363" t="str">
        <f ca="1">IF(AND(ISBLANK(E14),ISBLANK(F14)),"",VLOOKUP($F14,OFFSET(DADOS!$A$2,1,MATCH(QCI!$E14,DADOS!$2:$2,0)-1,100,50),2,FALSE))</f>
        <v>m²</v>
      </c>
      <c r="K14" s="640" t="str">
        <f t="shared" ref="K14:K22" ca="1" si="3">IF(OR($B14="Manual",$B14="SemiAuto"),QCI.LoteManual,IF($B14="Automático",IF(TIPOORCAMENTO="Licitado",Import.CTEF,"LOTE 1"),""))</f>
        <v>LOTE 1</v>
      </c>
      <c r="L14" s="364">
        <f t="shared" ref="L14:L21" ca="1" si="4">ROUND($O14,2)-ROUND($M14,2)-ROUND($N14,2)</f>
        <v>481104</v>
      </c>
      <c r="M14" s="365">
        <f t="shared" ref="M14:M21" ca="1" si="5">ROUND($AA14,2)-ROUND($AE14,2)</f>
        <v>20044.52</v>
      </c>
      <c r="N14" s="366">
        <f t="shared" ref="N14:N21" ca="1" si="6">ROUND($AB14,2)</f>
        <v>0</v>
      </c>
      <c r="O14" s="367">
        <f ca="1">IF($B14="Branco",0,IF(OR($B14="Manual",$B14="SemiAuto"),QCI.InvManual,INDEX(ORÇAMENTO!X$15:X$33,MATCH($A14,ORÇAMENTO!$E$15:$E$33,0))))</f>
        <v>501148.51558840001</v>
      </c>
      <c r="P14" s="613"/>
      <c r="R14" s="643"/>
      <c r="T14" s="644" t="s">
        <v>451</v>
      </c>
      <c r="U14" s="369"/>
      <c r="V14" s="645" t="s">
        <v>319</v>
      </c>
      <c r="W14" s="370">
        <f t="shared" ref="W14:W21" ca="1" si="7">$O14</f>
        <v>501148.51558840001</v>
      </c>
      <c r="X14" s="371">
        <v>0</v>
      </c>
      <c r="Z14" s="372">
        <f t="shared" ref="Z14:Z21" ca="1" si="8">$O14-$AA14-$AB14</f>
        <v>481104</v>
      </c>
      <c r="AA14">
        <f ca="1">IF($B14="Branco",0,IF($B14="Manual",QCI.CPManual,IF($B14="SemiAuto",ROUND(QCI!$AA$3*QCI.InvManual,2),INDEX(ORÇAMENTO!$AA$15:$AA$33,MATCH($A14,ORÇAMENTO!$E$15:$E$33,0)))))</f>
        <v>20044.515588400012</v>
      </c>
      <c r="AB14">
        <f ca="1">IF($B14="Branco",0,IF($B14="Manual",QCI.OutrosManual,IF($B14="SemiAuto",0,INDEX(ORÇAMENTO!$AB$15:$AB$33,MATCH($A14,ORÇAMENTO!$E$15:$E$33,0)))))</f>
        <v>0</v>
      </c>
      <c r="AD14" s="373" t="b">
        <f ca="1">AND($AA$3&gt;0,$AA$3&lt;1,$O14&gt;0,OR($B14="Automático",$B14="SemiAuto"),OR(QCI!$Z$3=QCI!$Z$7,QCI!$Z$3=QCI!$AA$7,QCI!$Z$3=QCI!$AB$7))</f>
        <v>1</v>
      </c>
      <c r="AE14" s="373">
        <f ca="1">IF(AND($AD14,$O14&gt;0,COUNTIF(OFFSET($AD14,1,0):$AD$23,TRUE)=0),CHOOSE(1+LOG(1+2*(QCI!$Z$3=QCI!$Z$7)+4*(QCI!$Z$3=QCI!$AA$7)+8*(QCI!$Z$3=QCI!$AB$7),2),0,$AA$23-ROUND(Import.CPMinPerc*$O$23,2),$AA$23-Import.CPMinAbsoluta,Import.Repasse-$Z$23),0)</f>
        <v>0</v>
      </c>
    </row>
    <row r="15" spans="1:31" x14ac:dyDescent="0.2">
      <c r="A15">
        <f t="shared" ca="1" si="0"/>
        <v>2</v>
      </c>
      <c r="B15" t="str">
        <f ca="1">IF(NOT(ISBLANK(QCI.DescManual)),IF(QCI.Divisao="Calculado","Manual","SemiAuto"),IF(ISERROR(MATCH($A15,ORÇAMENTO!$E$15:$E$33,0)),"Branco","Automático"))</f>
        <v>Branco</v>
      </c>
      <c r="C15" t="str">
        <f t="shared" ca="1" si="1"/>
        <v/>
      </c>
      <c r="D15" s="361">
        <f t="shared" si="2"/>
        <v>2</v>
      </c>
      <c r="E15" s="143"/>
      <c r="F15" s="362"/>
      <c r="G15" s="642" t="str">
        <f ca="1">IF(OR($B15="Manual",$B15="SemiAuto"),QCI.DescManual,IF($B15="Automático",INDEX(ORÇAMENTO!$R$15:$R$33,MATCH($A15,ORÇAMENTO!$E$15:$E$33,0)),""))</f>
        <v/>
      </c>
      <c r="H15" s="143"/>
      <c r="I15" s="641"/>
      <c r="J15" s="363" t="str">
        <f ca="1">IF(AND(ISBLANK(E15),ISBLANK(F15)),"",VLOOKUP($F15,OFFSET(DADOS!$A$2,1,MATCH(QCI!$E15,DADOS!$2:$2,0)-1,100,50),2,FALSE))</f>
        <v/>
      </c>
      <c r="K15" s="640" t="str">
        <f t="shared" ca="1" si="3"/>
        <v/>
      </c>
      <c r="L15" s="364">
        <f t="shared" ca="1" si="4"/>
        <v>0</v>
      </c>
      <c r="M15" s="365">
        <f t="shared" ca="1" si="5"/>
        <v>0</v>
      </c>
      <c r="N15" s="366">
        <f t="shared" ca="1" si="6"/>
        <v>0</v>
      </c>
      <c r="O15" s="367">
        <f ca="1">IF($B15="Branco",0,IF(OR($B15="Manual",$B15="SemiAuto"),QCI.InvManual,INDEX(ORÇAMENTO!X$15:X$33,MATCH($A15,ORÇAMENTO!$E$15:$E$33,0))))</f>
        <v>0</v>
      </c>
      <c r="P15" s="613"/>
      <c r="R15" s="643"/>
      <c r="T15" s="644"/>
      <c r="U15" s="369"/>
      <c r="V15" s="645" t="s">
        <v>319</v>
      </c>
      <c r="W15" s="370">
        <f t="shared" ca="1" si="7"/>
        <v>0</v>
      </c>
      <c r="X15" s="371">
        <v>0</v>
      </c>
      <c r="Z15" s="372">
        <f t="shared" ca="1" si="8"/>
        <v>0</v>
      </c>
      <c r="AA15">
        <f ca="1">IF($B15="Branco",0,IF($B15="Manual",QCI.CPManual,IF($B15="SemiAuto",ROUND(QCI!$AA$3*QCI.InvManual,2),INDEX(ORÇAMENTO!$AA$15:$AA$33,MATCH($A15,ORÇAMENTO!$E$15:$E$33,0)))))</f>
        <v>0</v>
      </c>
      <c r="AB15">
        <f ca="1">IF($B15="Branco",0,IF($B15="Manual",QCI.OutrosManual,IF($B15="SemiAuto",0,INDEX(ORÇAMENTO!$AB$15:$AB$33,MATCH($A15,ORÇAMENTO!$E$15:$E$33,0)))))</f>
        <v>0</v>
      </c>
      <c r="AD15" s="373" t="b">
        <f ca="1">AND($AA$3&gt;0,$AA$3&lt;1,$O15&gt;0,OR($B15="Automático",$B15="SemiAuto"),OR(QCI!$Z$3=QCI!$Z$7,QCI!$Z$3=QCI!$AA$7,QCI!$Z$3=QCI!$AB$7))</f>
        <v>0</v>
      </c>
      <c r="AE15" s="373">
        <f ca="1">IF(AND($AD15,$O15&gt;0,COUNTIF(OFFSET($AD15,1,0):$AD$23,TRUE)=0),CHOOSE(1+LOG(1+2*(QCI!$Z$3=QCI!$Z$7)+4*(QCI!$Z$3=QCI!$AA$7)+8*(QCI!$Z$3=QCI!$AB$7),2),0,$AA$23-ROUND(Import.CPMinPerc*$O$23,2),$AA$23-Import.CPMinAbsoluta,Import.Repasse-$Z$23),0)</f>
        <v>0</v>
      </c>
    </row>
    <row r="16" spans="1:31" x14ac:dyDescent="0.2">
      <c r="A16">
        <f t="shared" ca="1" si="0"/>
        <v>3</v>
      </c>
      <c r="B16" t="str">
        <f ca="1">IF(NOT(ISBLANK(QCI.DescManual)),IF(QCI.Divisao="Calculado","Manual","SemiAuto"),IF(ISERROR(MATCH($A16,ORÇAMENTO!$E$15:$E$33,0)),"Branco","Automático"))</f>
        <v>Branco</v>
      </c>
      <c r="C16" t="str">
        <f t="shared" ca="1" si="1"/>
        <v/>
      </c>
      <c r="D16" s="361">
        <f t="shared" si="2"/>
        <v>3</v>
      </c>
      <c r="E16" s="143"/>
      <c r="F16" s="362"/>
      <c r="G16" s="642" t="str">
        <f ca="1">IF(OR($B16="Manual",$B16="SemiAuto"),QCI.DescManual,IF($B16="Automático",INDEX(ORÇAMENTO!$R$15:$R$33,MATCH($A16,ORÇAMENTO!$E$15:$E$33,0)),""))</f>
        <v/>
      </c>
      <c r="H16" s="143"/>
      <c r="I16" s="641"/>
      <c r="J16" s="363" t="str">
        <f ca="1">IF(AND(ISBLANK(E16),ISBLANK(F16)),"",VLOOKUP($F16,OFFSET(DADOS!$A$2,1,MATCH(QCI!$E16,DADOS!$2:$2,0)-1,100,50),2,FALSE))</f>
        <v/>
      </c>
      <c r="K16" s="640" t="str">
        <f t="shared" ca="1" si="3"/>
        <v/>
      </c>
      <c r="L16" s="364">
        <f t="shared" ca="1" si="4"/>
        <v>0</v>
      </c>
      <c r="M16" s="365">
        <f t="shared" ca="1" si="5"/>
        <v>0</v>
      </c>
      <c r="N16" s="366">
        <f t="shared" ca="1" si="6"/>
        <v>0</v>
      </c>
      <c r="O16" s="367">
        <f ca="1">IF($B16="Branco",0,IF(OR($B16="Manual",$B16="SemiAuto"),QCI.InvManual,INDEX(ORÇAMENTO!X$15:X$33,MATCH($A16,ORÇAMENTO!$E$15:$E$33,0))))</f>
        <v>0</v>
      </c>
      <c r="P16" s="613"/>
      <c r="R16" s="643"/>
      <c r="T16" s="644"/>
      <c r="U16" s="369"/>
      <c r="V16" s="645" t="s">
        <v>319</v>
      </c>
      <c r="W16" s="370">
        <f t="shared" ca="1" si="7"/>
        <v>0</v>
      </c>
      <c r="X16" s="371">
        <v>0</v>
      </c>
      <c r="Z16" s="372">
        <f t="shared" ca="1" si="8"/>
        <v>0</v>
      </c>
      <c r="AA16">
        <f ca="1">IF($B16="Branco",0,IF($B16="Manual",QCI.CPManual,IF($B16="SemiAuto",ROUND(QCI!$AA$3*QCI.InvManual,2),INDEX(ORÇAMENTO!$AA$15:$AA$33,MATCH($A16,ORÇAMENTO!$E$15:$E$33,0)))))</f>
        <v>0</v>
      </c>
      <c r="AB16">
        <f ca="1">IF($B16="Branco",0,IF($B16="Manual",QCI.OutrosManual,IF($B16="SemiAuto",0,INDEX(ORÇAMENTO!$AB$15:$AB$33,MATCH($A16,ORÇAMENTO!$E$15:$E$33,0)))))</f>
        <v>0</v>
      </c>
      <c r="AD16" s="373" t="b">
        <f ca="1">AND($AA$3&gt;0,$AA$3&lt;1,$O16&gt;0,OR($B16="Automático",$B16="SemiAuto"),OR(QCI!$Z$3=QCI!$Z$7,QCI!$Z$3=QCI!$AA$7,QCI!$Z$3=QCI!$AB$7))</f>
        <v>0</v>
      </c>
      <c r="AE16" s="373">
        <f ca="1">IF(AND($AD16,$O16&gt;0,COUNTIF(OFFSET($AD16,1,0):$AD$23,TRUE)=0),CHOOSE(1+LOG(1+2*(QCI!$Z$3=QCI!$Z$7)+4*(QCI!$Z$3=QCI!$AA$7)+8*(QCI!$Z$3=QCI!$AB$7),2),0,$AA$23-ROUND(Import.CPMinPerc*$O$23,2),$AA$23-Import.CPMinAbsoluta,Import.Repasse-$Z$23),0)</f>
        <v>0</v>
      </c>
    </row>
    <row r="17" spans="1:31" x14ac:dyDescent="0.2">
      <c r="A17">
        <f t="shared" ca="1" si="0"/>
        <v>4</v>
      </c>
      <c r="B17" t="str">
        <f ca="1">IF(NOT(ISBLANK(QCI.DescManual)),IF(QCI.Divisao="Calculado","Manual","SemiAuto"),IF(ISERROR(MATCH($A17,ORÇAMENTO!$E$15:$E$33,0)),"Branco","Automático"))</f>
        <v>Branco</v>
      </c>
      <c r="C17" t="str">
        <f t="shared" ca="1" si="1"/>
        <v/>
      </c>
      <c r="D17" s="361">
        <f t="shared" si="2"/>
        <v>4</v>
      </c>
      <c r="E17" s="143"/>
      <c r="F17" s="362"/>
      <c r="G17" s="642" t="str">
        <f ca="1">IF(OR($B17="Manual",$B17="SemiAuto"),QCI.DescManual,IF($B17="Automático",INDEX(ORÇAMENTO!$R$15:$R$33,MATCH($A17,ORÇAMENTO!$E$15:$E$33,0)),""))</f>
        <v/>
      </c>
      <c r="H17" s="143"/>
      <c r="I17" s="641"/>
      <c r="J17" s="363" t="str">
        <f ca="1">IF(AND(ISBLANK(E17),ISBLANK(F17)),"",VLOOKUP($F17,OFFSET(DADOS!$A$2,1,MATCH(QCI!$E17,DADOS!$2:$2,0)-1,100,50),2,FALSE))</f>
        <v/>
      </c>
      <c r="K17" s="640" t="str">
        <f t="shared" ca="1" si="3"/>
        <v/>
      </c>
      <c r="L17" s="364">
        <f t="shared" ca="1" si="4"/>
        <v>0</v>
      </c>
      <c r="M17" s="365">
        <f t="shared" ca="1" si="5"/>
        <v>0</v>
      </c>
      <c r="N17" s="366">
        <f t="shared" ca="1" si="6"/>
        <v>0</v>
      </c>
      <c r="O17" s="367">
        <f ca="1">IF($B17="Branco",0,IF(OR($B17="Manual",$B17="SemiAuto"),QCI.InvManual,INDEX(ORÇAMENTO!X$15:X$33,MATCH($A17,ORÇAMENTO!$E$15:$E$33,0))))</f>
        <v>0</v>
      </c>
      <c r="P17" s="613"/>
      <c r="R17" s="643"/>
      <c r="T17" s="644"/>
      <c r="U17" s="369"/>
      <c r="V17" s="645" t="s">
        <v>319</v>
      </c>
      <c r="W17" s="370">
        <f t="shared" ca="1" si="7"/>
        <v>0</v>
      </c>
      <c r="X17" s="371">
        <v>0</v>
      </c>
      <c r="Z17" s="372">
        <f t="shared" ca="1" si="8"/>
        <v>0</v>
      </c>
      <c r="AA17">
        <f ca="1">IF($B17="Branco",0,IF($B17="Manual",QCI.CPManual,IF($B17="SemiAuto",ROUND(QCI!$AA$3*QCI.InvManual,2),INDEX(ORÇAMENTO!$AA$15:$AA$33,MATCH($A17,ORÇAMENTO!$E$15:$E$33,0)))))</f>
        <v>0</v>
      </c>
      <c r="AB17">
        <f ca="1">IF($B17="Branco",0,IF($B17="Manual",QCI.OutrosManual,IF($B17="SemiAuto",0,INDEX(ORÇAMENTO!$AB$15:$AB$33,MATCH($A17,ORÇAMENTO!$E$15:$E$33,0)))))</f>
        <v>0</v>
      </c>
      <c r="AD17" s="373" t="b">
        <f ca="1">AND($AA$3&gt;0,$AA$3&lt;1,$O17&gt;0,OR($B17="Automático",$B17="SemiAuto"),OR(QCI!$Z$3=QCI!$Z$7,QCI!$Z$3=QCI!$AA$7,QCI!$Z$3=QCI!$AB$7))</f>
        <v>0</v>
      </c>
      <c r="AE17" s="373">
        <f ca="1">IF(AND($AD17,$O17&gt;0,COUNTIF(OFFSET($AD17,1,0):$AD$23,TRUE)=0),CHOOSE(1+LOG(1+2*(QCI!$Z$3=QCI!$Z$7)+4*(QCI!$Z$3=QCI!$AA$7)+8*(QCI!$Z$3=QCI!$AB$7),2),0,$AA$23-ROUND(Import.CPMinPerc*$O$23,2),$AA$23-Import.CPMinAbsoluta,Import.Repasse-$Z$23),0)</f>
        <v>0</v>
      </c>
    </row>
    <row r="18" spans="1:31" x14ac:dyDescent="0.2">
      <c r="A18">
        <f t="shared" ca="1" si="0"/>
        <v>5</v>
      </c>
      <c r="B18" t="str">
        <f ca="1">IF(NOT(ISBLANK(QCI.DescManual)),IF(QCI.Divisao="Calculado","Manual","SemiAuto"),IF(ISERROR(MATCH($A18,ORÇAMENTO!$E$15:$E$33,0)),"Branco","Automático"))</f>
        <v>Branco</v>
      </c>
      <c r="C18" t="str">
        <f t="shared" ca="1" si="1"/>
        <v/>
      </c>
      <c r="D18" s="361">
        <f t="shared" si="2"/>
        <v>5</v>
      </c>
      <c r="E18" s="143"/>
      <c r="F18" s="362"/>
      <c r="G18" s="642" t="str">
        <f ca="1">IF(OR($B18="Manual",$B18="SemiAuto"),QCI.DescManual,IF($B18="Automático",INDEX(ORÇAMENTO!$R$15:$R$33,MATCH($A18,ORÇAMENTO!$E$15:$E$33,0)),""))</f>
        <v/>
      </c>
      <c r="H18" s="143"/>
      <c r="I18" s="641"/>
      <c r="J18" s="363" t="str">
        <f ca="1">IF(AND(ISBLANK(E18),ISBLANK(F18)),"",VLOOKUP($F18,OFFSET(DADOS!$A$2,1,MATCH(QCI!$E18,DADOS!$2:$2,0)-1,100,50),2,FALSE))</f>
        <v/>
      </c>
      <c r="K18" s="640" t="str">
        <f t="shared" ca="1" si="3"/>
        <v/>
      </c>
      <c r="L18" s="364">
        <f t="shared" ca="1" si="4"/>
        <v>0</v>
      </c>
      <c r="M18" s="365">
        <f t="shared" ca="1" si="5"/>
        <v>0</v>
      </c>
      <c r="N18" s="366">
        <f t="shared" ca="1" si="6"/>
        <v>0</v>
      </c>
      <c r="O18" s="367">
        <f ca="1">IF($B18="Branco",0,IF(OR($B18="Manual",$B18="SemiAuto"),QCI.InvManual,INDEX(ORÇAMENTO!X$15:X$33,MATCH($A18,ORÇAMENTO!$E$15:$E$33,0))))</f>
        <v>0</v>
      </c>
      <c r="P18" s="613"/>
      <c r="R18" s="643"/>
      <c r="T18" s="644"/>
      <c r="U18" s="369"/>
      <c r="V18" s="645" t="s">
        <v>319</v>
      </c>
      <c r="W18" s="370">
        <f t="shared" ca="1" si="7"/>
        <v>0</v>
      </c>
      <c r="X18" s="371">
        <v>0</v>
      </c>
      <c r="Z18" s="372">
        <f t="shared" ca="1" si="8"/>
        <v>0</v>
      </c>
      <c r="AA18">
        <f ca="1">IF($B18="Branco",0,IF($B18="Manual",QCI.CPManual,IF($B18="SemiAuto",ROUND(QCI!$AA$3*QCI.InvManual,2),INDEX(ORÇAMENTO!$AA$15:$AA$33,MATCH($A18,ORÇAMENTO!$E$15:$E$33,0)))))</f>
        <v>0</v>
      </c>
      <c r="AB18">
        <f ca="1">IF($B18="Branco",0,IF($B18="Manual",QCI.OutrosManual,IF($B18="SemiAuto",0,INDEX(ORÇAMENTO!$AB$15:$AB$33,MATCH($A18,ORÇAMENTO!$E$15:$E$33,0)))))</f>
        <v>0</v>
      </c>
      <c r="AD18" s="373" t="b">
        <f ca="1">AND($AA$3&gt;0,$AA$3&lt;1,$O18&gt;0,OR($B18="Automático",$B18="SemiAuto"),OR(QCI!$Z$3=QCI!$Z$7,QCI!$Z$3=QCI!$AA$7,QCI!$Z$3=QCI!$AB$7))</f>
        <v>0</v>
      </c>
      <c r="AE18" s="373">
        <f ca="1">IF(AND($AD18,$O18&gt;0,COUNTIF(OFFSET($AD18,1,0):$AD$23,TRUE)=0),CHOOSE(1+LOG(1+2*(QCI!$Z$3=QCI!$Z$7)+4*(QCI!$Z$3=QCI!$AA$7)+8*(QCI!$Z$3=QCI!$AB$7),2),0,$AA$23-ROUND(Import.CPMinPerc*$O$23,2),$AA$23-Import.CPMinAbsoluta,Import.Repasse-$Z$23),0)</f>
        <v>0</v>
      </c>
    </row>
    <row r="19" spans="1:31" x14ac:dyDescent="0.2">
      <c r="A19">
        <f t="shared" ca="1" si="0"/>
        <v>6</v>
      </c>
      <c r="B19" t="str">
        <f ca="1">IF(NOT(ISBLANK(QCI.DescManual)),IF(QCI.Divisao="Calculado","Manual","SemiAuto"),IF(ISERROR(MATCH($A19,ORÇAMENTO!$E$15:$E$33,0)),"Branco","Automático"))</f>
        <v>Branco</v>
      </c>
      <c r="C19" t="str">
        <f t="shared" ca="1" si="1"/>
        <v/>
      </c>
      <c r="D19" s="361">
        <f t="shared" si="2"/>
        <v>6</v>
      </c>
      <c r="E19" s="143"/>
      <c r="F19" s="362"/>
      <c r="G19" s="642" t="str">
        <f ca="1">IF(OR($B19="Manual",$B19="SemiAuto"),QCI.DescManual,IF($B19="Automático",INDEX(ORÇAMENTO!$R$15:$R$33,MATCH($A19,ORÇAMENTO!$E$15:$E$33,0)),""))</f>
        <v/>
      </c>
      <c r="H19" s="143"/>
      <c r="I19" s="641"/>
      <c r="J19" s="363" t="str">
        <f ca="1">IF(AND(ISBLANK(E19),ISBLANK(F19)),"",VLOOKUP($F19,OFFSET(DADOS!$A$2,1,MATCH(QCI!$E19,DADOS!$2:$2,0)-1,100,50),2,FALSE))</f>
        <v/>
      </c>
      <c r="K19" s="640" t="str">
        <f t="shared" ca="1" si="3"/>
        <v/>
      </c>
      <c r="L19" s="364">
        <f t="shared" ca="1" si="4"/>
        <v>0</v>
      </c>
      <c r="M19" s="365">
        <f t="shared" ca="1" si="5"/>
        <v>0</v>
      </c>
      <c r="N19" s="366">
        <f t="shared" ca="1" si="6"/>
        <v>0</v>
      </c>
      <c r="O19" s="367">
        <f ca="1">IF($B19="Branco",0,IF(OR($B19="Manual",$B19="SemiAuto"),QCI.InvManual,INDEX(ORÇAMENTO!X$15:X$33,MATCH($A19,ORÇAMENTO!$E$15:$E$33,0))))</f>
        <v>0</v>
      </c>
      <c r="P19" s="613"/>
      <c r="R19" s="643"/>
      <c r="T19" s="644"/>
      <c r="U19" s="369"/>
      <c r="V19" s="645" t="s">
        <v>319</v>
      </c>
      <c r="W19" s="370">
        <f t="shared" ca="1" si="7"/>
        <v>0</v>
      </c>
      <c r="X19" s="371">
        <v>0</v>
      </c>
      <c r="Z19" s="372">
        <f t="shared" ca="1" si="8"/>
        <v>0</v>
      </c>
      <c r="AA19">
        <f ca="1">IF($B19="Branco",0,IF($B19="Manual",QCI.CPManual,IF($B19="SemiAuto",ROUND(QCI!$AA$3*QCI.InvManual,2),INDEX(ORÇAMENTO!$AA$15:$AA$33,MATCH($A19,ORÇAMENTO!$E$15:$E$33,0)))))</f>
        <v>0</v>
      </c>
      <c r="AB19">
        <f ca="1">IF($B19="Branco",0,IF($B19="Manual",QCI.OutrosManual,IF($B19="SemiAuto",0,INDEX(ORÇAMENTO!$AB$15:$AB$33,MATCH($A19,ORÇAMENTO!$E$15:$E$33,0)))))</f>
        <v>0</v>
      </c>
      <c r="AD19" s="373" t="b">
        <f ca="1">AND($AA$3&gt;0,$AA$3&lt;1,$O19&gt;0,OR($B19="Automático",$B19="SemiAuto"),OR(QCI!$Z$3=QCI!$Z$7,QCI!$Z$3=QCI!$AA$7,QCI!$Z$3=QCI!$AB$7))</f>
        <v>0</v>
      </c>
      <c r="AE19" s="373">
        <f ca="1">IF(AND($AD19,$O19&gt;0,COUNTIF(OFFSET($AD19,1,0):$AD$23,TRUE)=0),CHOOSE(1+LOG(1+2*(QCI!$Z$3=QCI!$Z$7)+4*(QCI!$Z$3=QCI!$AA$7)+8*(QCI!$Z$3=QCI!$AB$7),2),0,$AA$23-ROUND(Import.CPMinPerc*$O$23,2),$AA$23-Import.CPMinAbsoluta,Import.Repasse-$Z$23),0)</f>
        <v>0</v>
      </c>
    </row>
    <row r="20" spans="1:31" x14ac:dyDescent="0.2">
      <c r="A20">
        <f t="shared" ca="1" si="0"/>
        <v>7</v>
      </c>
      <c r="B20" t="str">
        <f ca="1">IF(NOT(ISBLANK(QCI.DescManual)),IF(QCI.Divisao="Calculado","Manual","SemiAuto"),IF(ISERROR(MATCH($A20,ORÇAMENTO!$E$15:$E$33,0)),"Branco","Automático"))</f>
        <v>Branco</v>
      </c>
      <c r="C20" t="str">
        <f t="shared" ca="1" si="1"/>
        <v/>
      </c>
      <c r="D20" s="361">
        <f t="shared" si="2"/>
        <v>7</v>
      </c>
      <c r="E20" s="143"/>
      <c r="F20" s="362"/>
      <c r="G20" s="642" t="str">
        <f ca="1">IF(OR($B20="Manual",$B20="SemiAuto"),QCI.DescManual,IF($B20="Automático",INDEX(ORÇAMENTO!$R$15:$R$33,MATCH($A20,ORÇAMENTO!$E$15:$E$33,0)),""))</f>
        <v/>
      </c>
      <c r="H20" s="143"/>
      <c r="I20" s="641"/>
      <c r="J20" s="363" t="str">
        <f ca="1">IF(AND(ISBLANK(E20),ISBLANK(F20)),"",VLOOKUP($F20,OFFSET(DADOS!$A$2,1,MATCH(QCI!$E20,DADOS!$2:$2,0)-1,100,50),2,FALSE))</f>
        <v/>
      </c>
      <c r="K20" s="640" t="str">
        <f t="shared" ca="1" si="3"/>
        <v/>
      </c>
      <c r="L20" s="364">
        <f t="shared" ca="1" si="4"/>
        <v>0</v>
      </c>
      <c r="M20" s="365">
        <f t="shared" ca="1" si="5"/>
        <v>0</v>
      </c>
      <c r="N20" s="366">
        <f t="shared" ca="1" si="6"/>
        <v>0</v>
      </c>
      <c r="O20" s="367">
        <f ca="1">IF($B20="Branco",0,IF(OR($B20="Manual",$B20="SemiAuto"),QCI.InvManual,INDEX(ORÇAMENTO!X$15:X$33,MATCH($A20,ORÇAMENTO!$E$15:$E$33,0))))</f>
        <v>0</v>
      </c>
      <c r="P20" s="613"/>
      <c r="R20" s="643"/>
      <c r="T20" s="644"/>
      <c r="U20" s="369"/>
      <c r="V20" s="645" t="s">
        <v>319</v>
      </c>
      <c r="W20" s="370">
        <f t="shared" ca="1" si="7"/>
        <v>0</v>
      </c>
      <c r="X20" s="371">
        <v>0</v>
      </c>
      <c r="Z20" s="372">
        <f t="shared" ca="1" si="8"/>
        <v>0</v>
      </c>
      <c r="AA20">
        <f ca="1">IF($B20="Branco",0,IF($B20="Manual",QCI.CPManual,IF($B20="SemiAuto",ROUND(QCI!$AA$3*QCI.InvManual,2),INDEX(ORÇAMENTO!$AA$15:$AA$33,MATCH($A20,ORÇAMENTO!$E$15:$E$33,0)))))</f>
        <v>0</v>
      </c>
      <c r="AB20">
        <f ca="1">IF($B20="Branco",0,IF($B20="Manual",QCI.OutrosManual,IF($B20="SemiAuto",0,INDEX(ORÇAMENTO!$AB$15:$AB$33,MATCH($A20,ORÇAMENTO!$E$15:$E$33,0)))))</f>
        <v>0</v>
      </c>
      <c r="AD20" s="373" t="b">
        <f ca="1">AND($AA$3&gt;0,$AA$3&lt;1,$O20&gt;0,OR($B20="Automático",$B20="SemiAuto"),OR(QCI!$Z$3=QCI!$Z$7,QCI!$Z$3=QCI!$AA$7,QCI!$Z$3=QCI!$AB$7))</f>
        <v>0</v>
      </c>
      <c r="AE20" s="373">
        <f ca="1">IF(AND($AD20,$O20&gt;0,COUNTIF(OFFSET($AD20,1,0):$AD$23,TRUE)=0),CHOOSE(1+LOG(1+2*(QCI!$Z$3=QCI!$Z$7)+4*(QCI!$Z$3=QCI!$AA$7)+8*(QCI!$Z$3=QCI!$AB$7),2),0,$AA$23-ROUND(Import.CPMinPerc*$O$23,2),$AA$23-Import.CPMinAbsoluta,Import.Repasse-$Z$23),0)</f>
        <v>0</v>
      </c>
    </row>
    <row r="21" spans="1:31" x14ac:dyDescent="0.2">
      <c r="A21">
        <f t="shared" ca="1" si="0"/>
        <v>8</v>
      </c>
      <c r="B21" t="str">
        <f ca="1">IF(NOT(ISBLANK(QCI.DescManual)),IF(QCI.Divisao="Calculado","Manual","SemiAuto"),IF(ISERROR(MATCH($A21,ORÇAMENTO!$E$15:$E$33,0)),"Branco","Automático"))</f>
        <v>Branco</v>
      </c>
      <c r="C21" t="str">
        <f t="shared" ca="1" si="1"/>
        <v/>
      </c>
      <c r="D21" s="361">
        <f t="shared" si="2"/>
        <v>8</v>
      </c>
      <c r="E21" s="143"/>
      <c r="F21" s="362"/>
      <c r="G21" s="642" t="str">
        <f ca="1">IF(OR($B21="Manual",$B21="SemiAuto"),QCI.DescManual,IF($B21="Automático",INDEX(ORÇAMENTO!$R$15:$R$33,MATCH($A21,ORÇAMENTO!$E$15:$E$33,0)),""))</f>
        <v/>
      </c>
      <c r="H21" s="143"/>
      <c r="I21" s="641"/>
      <c r="J21" s="363" t="str">
        <f ca="1">IF(AND(ISBLANK(E21),ISBLANK(F21)),"",VLOOKUP($F21,OFFSET(DADOS!$A$2,1,MATCH(QCI!$E21,DADOS!$2:$2,0)-1,100,50),2,FALSE))</f>
        <v/>
      </c>
      <c r="K21" s="640" t="str">
        <f t="shared" ca="1" si="3"/>
        <v/>
      </c>
      <c r="L21" s="364">
        <f t="shared" ca="1" si="4"/>
        <v>0</v>
      </c>
      <c r="M21" s="365">
        <f t="shared" ca="1" si="5"/>
        <v>0</v>
      </c>
      <c r="N21" s="366">
        <f t="shared" ca="1" si="6"/>
        <v>0</v>
      </c>
      <c r="O21" s="367">
        <f ca="1">IF($B21="Branco",0,IF(OR($B21="Manual",$B21="SemiAuto"),QCI.InvManual,INDEX(ORÇAMENTO!X$15:X$33,MATCH($A21,ORÇAMENTO!$E$15:$E$33,0))))</f>
        <v>0</v>
      </c>
      <c r="P21" s="613"/>
      <c r="R21" s="643"/>
      <c r="T21" s="644"/>
      <c r="U21" s="369"/>
      <c r="V21" s="645" t="s">
        <v>319</v>
      </c>
      <c r="W21" s="370">
        <f t="shared" ca="1" si="7"/>
        <v>0</v>
      </c>
      <c r="X21" s="371">
        <v>0</v>
      </c>
      <c r="Z21" s="372">
        <f t="shared" ca="1" si="8"/>
        <v>0</v>
      </c>
      <c r="AA21">
        <f ca="1">IF($B21="Branco",0,IF($B21="Manual",QCI.CPManual,IF($B21="SemiAuto",ROUND(QCI!$AA$3*QCI.InvManual,2),INDEX(ORÇAMENTO!$AA$15:$AA$33,MATCH($A21,ORÇAMENTO!$E$15:$E$33,0)))))</f>
        <v>0</v>
      </c>
      <c r="AB21">
        <f ca="1">IF($B21="Branco",0,IF($B21="Manual",QCI.OutrosManual,IF($B21="SemiAuto",0,INDEX(ORÇAMENTO!$AB$15:$AB$33,MATCH($A21,ORÇAMENTO!$E$15:$E$33,0)))))</f>
        <v>0</v>
      </c>
      <c r="AD21" s="373" t="b">
        <f ca="1">AND($AA$3&gt;0,$AA$3&lt;1,$O21&gt;0,OR($B21="Automático",$B21="SemiAuto"),OR(QCI!$Z$3=QCI!$Z$7,QCI!$Z$3=QCI!$AA$7,QCI!$Z$3=QCI!$AB$7))</f>
        <v>0</v>
      </c>
      <c r="AE21" s="373">
        <f ca="1">IF(AND($AD21,$O21&gt;0,COUNTIF(OFFSET($AD21,1,0):$AD$23,TRUE)=0),CHOOSE(1+LOG(1+2*(QCI!$Z$3=QCI!$Z$7)+4*(QCI!$Z$3=QCI!$AA$7)+8*(QCI!$Z$3=QCI!$AB$7),2),0,$AA$23-ROUND(Import.CPMinPerc*$O$23,2),$AA$23-Import.CPMinAbsoluta,Import.Repasse-$Z$23),0)</f>
        <v>0</v>
      </c>
    </row>
    <row r="22" spans="1:31" x14ac:dyDescent="0.2">
      <c r="A22">
        <f t="shared" ca="1" si="0"/>
        <v>9</v>
      </c>
      <c r="B22" t="str">
        <f ca="1">IF(NOT(ISBLANK(QCI.DescManual)),IF(QCI.Divisao="Calculado","Manual","SemiAuto"),IF(ISERROR(MATCH($A22,ORÇAMENTO!$E$15:$E$33,0)),"Branco","Automático"))</f>
        <v>Branco</v>
      </c>
      <c r="C22" t="str">
        <f ca="1">IF(O22&gt;0,"F","")</f>
        <v/>
      </c>
      <c r="D22" s="361">
        <f>ROW()-ROW($D$13)</f>
        <v>9</v>
      </c>
      <c r="E22" s="143"/>
      <c r="F22" s="362"/>
      <c r="G22" s="642" t="str">
        <f ca="1">IF(OR($B22="Manual",$B22="SemiAuto"),QCI.DescManual,IF($B22="Automático",INDEX(ORÇAMENTO!$R$15:$R$33,MATCH($A22,ORÇAMENTO!$E$15:$E$33,0)),""))</f>
        <v/>
      </c>
      <c r="H22" s="143"/>
      <c r="I22" s="641"/>
      <c r="J22" s="363" t="str">
        <f ca="1">IF(AND(ISBLANK(E22),ISBLANK(F22)),"",VLOOKUP($F22,OFFSET(DADOS!$A$2,1,MATCH(QCI!$E22,DADOS!$2:$2,0)-1,100,50),2,FALSE))</f>
        <v/>
      </c>
      <c r="K22" s="640" t="str">
        <f t="shared" ca="1" si="3"/>
        <v/>
      </c>
      <c r="L22" s="364">
        <f ca="1">ROUND($O22,2)-ROUND($M22,2)-ROUND($N22,2)</f>
        <v>0</v>
      </c>
      <c r="M22" s="365">
        <f ca="1">ROUND($AA22,2)-ROUND($AE22,2)</f>
        <v>0</v>
      </c>
      <c r="N22" s="366">
        <f ca="1">ROUND($AB22,2)</f>
        <v>0</v>
      </c>
      <c r="O22" s="367">
        <f ca="1">IF($B22="Branco",0,IF(OR($B22="Manual",$B22="SemiAuto"),QCI.InvManual,INDEX(ORÇAMENTO!X$15:X$33,MATCH($A22,ORÇAMENTO!$E$15:$E$33,0))))</f>
        <v>0</v>
      </c>
      <c r="P22" s="613"/>
      <c r="R22" s="643"/>
      <c r="T22" s="644"/>
      <c r="U22" s="369"/>
      <c r="V22" s="645" t="s">
        <v>319</v>
      </c>
      <c r="W22" s="370">
        <f ca="1">$O22</f>
        <v>0</v>
      </c>
      <c r="X22" s="371">
        <v>0</v>
      </c>
      <c r="Z22" s="372">
        <f ca="1">$O22-$AA22-$AB22</f>
        <v>0</v>
      </c>
      <c r="AA22">
        <f ca="1">IF($B22="Branco",0,IF($B22="Manual",QCI.CPManual,IF($B22="SemiAuto",ROUND(QCI!$AA$3*QCI.InvManual,2),INDEX(ORÇAMENTO!$AA$15:$AA$33,MATCH($A22,ORÇAMENTO!$E$15:$E$33,0)))))</f>
        <v>0</v>
      </c>
      <c r="AB22">
        <f ca="1">IF($B22="Branco",0,IF($B22="Manual",QCI.OutrosManual,IF($B22="SemiAuto",0,INDEX(ORÇAMENTO!$AB$15:$AB$33,MATCH($A22,ORÇAMENTO!$E$15:$E$33,0)))))</f>
        <v>0</v>
      </c>
      <c r="AD22" s="373" t="b">
        <f ca="1">AND($AA$3&gt;0,$AA$3&lt;1,$O22&gt;0,OR($B22="Automático",$B22="SemiAuto"),OR(QCI!$Z$3=QCI!$Z$7,QCI!$Z$3=QCI!$AA$7,QCI!$Z$3=QCI!$AB$7))</f>
        <v>0</v>
      </c>
      <c r="AE22" s="373">
        <f ca="1">IF(AND($AD22,$O22&gt;0,COUNTIF(OFFSET($AD22,1,0):$AD$23,TRUE)=0),CHOOSE(1+LOG(1+2*(QCI!$Z$3=QCI!$Z$7)+4*(QCI!$Z$3=QCI!$AA$7)+8*(QCI!$Z$3=QCI!$AB$7),2),0,$AA$23-ROUND(Import.CPMinPerc*$O$23,2),$AA$23-Import.CPMinAbsoluta,Import.Repasse-$Z$23),0)</f>
        <v>0</v>
      </c>
    </row>
    <row r="23" spans="1:31" ht="15" x14ac:dyDescent="0.2">
      <c r="B23" t="s">
        <v>329</v>
      </c>
      <c r="C23" t="s">
        <v>248</v>
      </c>
      <c r="D23" s="381"/>
      <c r="E23" s="382"/>
      <c r="F23" s="382"/>
      <c r="G23" s="382"/>
      <c r="H23" s="382"/>
      <c r="I23" s="382"/>
      <c r="J23" s="382"/>
      <c r="K23" s="761" t="s">
        <v>330</v>
      </c>
      <c r="L23" s="383">
        <f ca="1">SUM(L13:OFFSET(L23,-1,0))</f>
        <v>481104</v>
      </c>
      <c r="M23" s="384">
        <f ca="1">SUM(M13:OFFSET(M23,-1,0))</f>
        <v>20044.52</v>
      </c>
      <c r="N23" s="385">
        <f ca="1">SUM(N13:OFFSET(N23,-1,0))</f>
        <v>0</v>
      </c>
      <c r="O23" s="386">
        <f ca="1">SUM(O13:OFFSET(O23,-1,0))</f>
        <v>501148.51558840001</v>
      </c>
      <c r="R23" s="387"/>
      <c r="T23" s="388"/>
      <c r="U23" s="389"/>
      <c r="V23" s="390"/>
      <c r="W23" s="391"/>
      <c r="X23" s="392"/>
      <c r="Z23" s="393">
        <f ca="1">SUMPRODUCT(ROUND(Z13:OFFSET(Z23,-1,0),2))</f>
        <v>481104</v>
      </c>
      <c r="AA23" s="393">
        <f ca="1">SUMPRODUCT(ROUND(AA13:OFFSET(AA23,-1,0),2))</f>
        <v>20044.52</v>
      </c>
      <c r="AB23" s="393">
        <f ca="1">SUM(AB13:OFFSET(AB23,-1,0))</f>
        <v>0</v>
      </c>
    </row>
    <row r="24" spans="1:31" x14ac:dyDescent="0.2">
      <c r="B24" t="s">
        <v>331</v>
      </c>
      <c r="C24" t="s">
        <v>248</v>
      </c>
      <c r="D24" s="394"/>
      <c r="E24" s="395"/>
      <c r="F24" s="395"/>
      <c r="G24" s="395"/>
      <c r="H24" s="395"/>
      <c r="I24" s="395"/>
      <c r="J24" s="395"/>
      <c r="K24" s="761"/>
      <c r="L24" s="396">
        <f ca="1">IF(ISERROR(L23/$O23),0,ROUND(L23/$O23,4))</f>
        <v>0.96</v>
      </c>
      <c r="M24" s="397">
        <f ca="1">IF(ISERROR(M23/$O23),0,ROUND(M23/$O23,4))</f>
        <v>0.04</v>
      </c>
      <c r="N24" s="398">
        <f ca="1">IF(ISERROR(N23/$O23),0,ROUND(N23/$O23,4))</f>
        <v>0</v>
      </c>
      <c r="O24" s="399">
        <f ca="1">IF(ISERROR(O23/$O23),0,ROUND(O23/$O23,4))</f>
        <v>1</v>
      </c>
      <c r="R24" s="400"/>
      <c r="T24" s="401"/>
      <c r="U24" s="402"/>
      <c r="V24" s="403"/>
      <c r="W24" s="404"/>
      <c r="X24" s="405"/>
    </row>
    <row r="26" spans="1:31" ht="14.25" x14ac:dyDescent="0.2">
      <c r="D26" s="166" t="s">
        <v>189</v>
      </c>
      <c r="E26" s="101"/>
      <c r="F26" s="101"/>
      <c r="G26" s="101"/>
      <c r="H26" s="101"/>
      <c r="I26" s="101"/>
      <c r="J26" s="101"/>
      <c r="K26" s="101"/>
      <c r="L26" s="101"/>
      <c r="M26" s="101"/>
    </row>
    <row r="27" spans="1:31" ht="12.75" customHeight="1" x14ac:dyDescent="0.2">
      <c r="D27" s="711"/>
      <c r="E27" s="711"/>
      <c r="F27" s="711"/>
      <c r="G27" s="711"/>
      <c r="H27" s="711"/>
      <c r="I27" s="711"/>
      <c r="J27" s="711"/>
      <c r="K27" s="711"/>
      <c r="L27" s="711"/>
      <c r="M27" s="711"/>
      <c r="N27" s="711"/>
      <c r="O27" s="711"/>
    </row>
    <row r="28" spans="1:31" ht="12.75" customHeight="1" x14ac:dyDescent="0.2">
      <c r="D28" s="711"/>
      <c r="E28" s="711"/>
      <c r="F28" s="711"/>
      <c r="G28" s="711"/>
      <c r="H28" s="711"/>
      <c r="I28" s="711"/>
      <c r="J28" s="711"/>
      <c r="K28" s="711"/>
      <c r="L28" s="711"/>
      <c r="M28" s="711"/>
      <c r="N28" s="711"/>
      <c r="O28" s="711"/>
    </row>
    <row r="29" spans="1:31" ht="12.75" customHeight="1" x14ac:dyDescent="0.2">
      <c r="D29" s="711"/>
      <c r="E29" s="711"/>
      <c r="F29" s="711"/>
      <c r="G29" s="711"/>
      <c r="H29" s="711"/>
      <c r="I29" s="711"/>
      <c r="J29" s="711"/>
      <c r="K29" s="711"/>
      <c r="L29" s="711"/>
      <c r="M29" s="711"/>
      <c r="N29" s="711"/>
      <c r="O29" s="711"/>
    </row>
    <row r="32" spans="1:31" ht="15" x14ac:dyDescent="0.2">
      <c r="D32" s="713" t="str">
        <f>Import.Município</f>
        <v>CONCEIÇÃO DOS OUROS/MG</v>
      </c>
      <c r="E32" s="713"/>
      <c r="F32" s="713"/>
      <c r="I32" s="171"/>
      <c r="J32" s="171"/>
      <c r="K32" s="224"/>
      <c r="L32" s="224"/>
    </row>
    <row r="33" spans="4:12" x14ac:dyDescent="0.2">
      <c r="D33" s="12" t="s">
        <v>190</v>
      </c>
      <c r="E33" s="100"/>
      <c r="F33" s="100"/>
      <c r="I33" s="225" t="s">
        <v>332</v>
      </c>
      <c r="J33" s="225"/>
    </row>
    <row r="34" spans="4:12" x14ac:dyDescent="0.2">
      <c r="D34" s="100"/>
      <c r="E34" s="100"/>
      <c r="F34" s="100"/>
      <c r="I34" s="90" t="str">
        <f>"Nome:" &amp;  " " &amp; DADOS!F28</f>
        <v>Nome: LUÍS FERNANDO ROSA DE CASTRO</v>
      </c>
    </row>
    <row r="35" spans="4:12" x14ac:dyDescent="0.2">
      <c r="D35" s="708">
        <f>DADOS!$F$25</f>
        <v>45391</v>
      </c>
      <c r="E35" s="708"/>
      <c r="F35" s="708"/>
      <c r="I35" s="90" t="str">
        <f>"Cargo:"  &amp; " " &amp; DADOS!F29</f>
        <v>Cargo: PREFEITO MUNICIPAL</v>
      </c>
    </row>
    <row r="36" spans="4:12" x14ac:dyDescent="0.2">
      <c r="D36" s="173" t="s">
        <v>191</v>
      </c>
      <c r="E36" s="174"/>
      <c r="F36" s="174"/>
      <c r="K36" s="90"/>
      <c r="L36" s="91"/>
    </row>
  </sheetData>
  <sheetCalcPr fullCalcOnLoad="1"/>
  <sheetProtection password="BD1F" sheet="1" objects="1" scenarios="1" autoFilter="0"/>
  <autoFilter ref="C13:C24"/>
  <mergeCells count="20">
    <mergeCell ref="D3:E3"/>
    <mergeCell ref="G3:I3"/>
    <mergeCell ref="J3:L3"/>
    <mergeCell ref="M3:O4"/>
    <mergeCell ref="D4:E4"/>
    <mergeCell ref="G4:I4"/>
    <mergeCell ref="J4:L4"/>
    <mergeCell ref="AD10:AE10"/>
    <mergeCell ref="K23:K24"/>
    <mergeCell ref="C7:C11"/>
    <mergeCell ref="G9:J10"/>
    <mergeCell ref="K9:K10"/>
    <mergeCell ref="AD9:AE9"/>
    <mergeCell ref="D7:K7"/>
    <mergeCell ref="A10:A11"/>
    <mergeCell ref="Z10:AB10"/>
    <mergeCell ref="D35:F35"/>
    <mergeCell ref="D27:O29"/>
    <mergeCell ref="D32:F32"/>
    <mergeCell ref="D6:K6"/>
  </mergeCells>
  <phoneticPr fontId="40" type="noConversion"/>
  <conditionalFormatting sqref="T12:V12 T14:V21">
    <cfRule type="expression" dxfId="55" priority="141" stopIfTrue="1">
      <formula>OR($B12="Automático",$B12="Branco")</formula>
    </cfRule>
  </conditionalFormatting>
  <conditionalFormatting sqref="L12 L14:L22">
    <cfRule type="expression" dxfId="54" priority="142" stopIfTrue="1">
      <formula>OR(L12&lt;0,AND(L$13="Contrapartida Financeira (R$)",$B12="T%",OR(L12&lt;Import.CPMinPerc,AND(L12&gt;Import.CPMaxPerc,Import.CPMaxPerc&gt;0))),AND(L$13="Contrapartida Financeira (R$)",$B12="TR$",L12&lt;Import.CPMinAbsoluta))</formula>
    </cfRule>
  </conditionalFormatting>
  <conditionalFormatting sqref="W12:X12 W14:X21">
    <cfRule type="expression" dxfId="53" priority="143" stopIfTrue="1">
      <formula>OR($B12="Automático",$B12="Branco",$V12&lt;&gt;"Calculado")</formula>
    </cfRule>
  </conditionalFormatting>
  <conditionalFormatting sqref="M24">
    <cfRule type="expression" dxfId="52" priority="145" stopIfTrue="1">
      <formula>AND($G$9&lt;&gt;"",OR($M$24&lt;Import.CPMinPerc,$M$24&gt;Import.CPMaxPerc))</formula>
    </cfRule>
  </conditionalFormatting>
  <conditionalFormatting sqref="M23">
    <cfRule type="expression" dxfId="51" priority="146" stopIfTrue="1">
      <formula>AND($G$9&lt;&gt;"",$M$23&lt;Import.CPMinAbsoluta)</formula>
    </cfRule>
  </conditionalFormatting>
  <conditionalFormatting sqref="L10:M10">
    <cfRule type="cellIs" dxfId="50" priority="147" stopIfTrue="1" operator="lessThan">
      <formula>0</formula>
    </cfRule>
  </conditionalFormatting>
  <conditionalFormatting sqref="G12 G14:G21">
    <cfRule type="cellIs" dxfId="49" priority="148" stopIfTrue="1" operator="equal">
      <formula>"(digite a descrição aqui)"</formula>
    </cfRule>
  </conditionalFormatting>
  <conditionalFormatting sqref="T22:V22">
    <cfRule type="expression" dxfId="48" priority="1" stopIfTrue="1">
      <formula>OR($B22="Automático",$B22="Branco")</formula>
    </cfRule>
  </conditionalFormatting>
  <conditionalFormatting sqref="W22:X22">
    <cfRule type="expression" dxfId="47" priority="3" stopIfTrue="1">
      <formula>OR($B22="Automático",$B22="Branco",$V22&lt;&gt;"Calculado")</formula>
    </cfRule>
  </conditionalFormatting>
  <conditionalFormatting sqref="G22">
    <cfRule type="cellIs" dxfId="46" priority="4" stopIfTrue="1" operator="equal">
      <formula>"(digite a descrição aqui)"</formula>
    </cfRule>
  </conditionalFormatting>
  <dataValidations count="9">
    <dataValidation type="decimal" operator="greaterThan" allowBlank="1" showErrorMessage="1" error="Digite apenas números decimais maiores do que 0." sqref="U12 U14:U22">
      <formula1>0</formula1>
      <formula2>0</formula2>
    </dataValidation>
    <dataValidation type="list" allowBlank="1" sqref="E12 E14:E22">
      <formula1>QCI.ItemInvestimento</formula1>
      <formula2>0</formula2>
    </dataValidation>
    <dataValidation type="list" allowBlank="1" sqref="F12 F14:F22">
      <formula1>QCI.SubItemInvestimento</formula1>
      <formula2>0</formula2>
    </dataValidation>
    <dataValidation type="list" allowBlank="1" sqref="H12 H14:H22">
      <formula1>"Sem Projeto,Em Análise,Análise Concluída / A Licitar,Licitado / Em Execução,Concluído"</formula1>
      <formula2>0</formula2>
    </dataValidation>
    <dataValidation type="decimal" operator="greaterThan" allowBlank="1" showErrorMessage="1" errorTitle="Erro" error="Digite valores maiores do que 0." sqref="I12 I14:I22">
      <formula1>0</formula1>
      <formula2>0</formula2>
    </dataValidation>
    <dataValidation type="list" allowBlank="1" showErrorMessage="1" sqref="V12 V14:V22">
      <formula1>"Proporcional,Calculado"</formula1>
      <formula2>0</formula2>
    </dataValidation>
    <dataValidation type="decimal" allowBlank="1" showInputMessage="1" showErrorMessage="1" errorTitle="Erro de valor" error="Digite somente valor de 0,00 ao valor do Investimento. A Somatória dos valores não deve ultrapassar o valor de Investimento." promptTitle="Contrapartida Financeira:" prompt="Digite o valor de Contrapartida Financeira para esta Meta." sqref="W12 W14:W22">
      <formula1>0</formula1>
      <formula2>QCI.MaxCPManual</formula2>
    </dataValidation>
    <dataValidation type="decimal" allowBlank="1" showInputMessage="1" showErrorMessage="1" errorTitle="Erro de valor" error="Digite somente valor de 0,00 ao valor do Investimento. A Somatória dos valores não deve ultrapassar o valor de Investimento." promptTitle="Contrapartida Física / Outros:" prompt="Digite o valor de Contrapartida Física / Outros para esta Meta." sqref="X12 X14:X22">
      <formula1>0</formula1>
      <formula2>QCI.MaxOUManual</formula2>
    </dataValidation>
    <dataValidation allowBlank="1" showInputMessage="1" showErrorMessage="1" prompt="Preencha somente se a meta não fizer parte do Orçamento desta Plan. Mult." sqref="R12 R14:R22"/>
  </dataValidations>
  <pageMargins left="0.78740157480314965" right="0.78740157480314965" top="0.78740157480314965" bottom="0.78740157480314965" header="0.59055118110236227" footer="0.59055118110236227"/>
  <pageSetup paperSize="9" scale="62" firstPageNumber="0" fitToHeight="0" orientation="landscape" horizontalDpi="300" verticalDpi="300" r:id="rId1"/>
  <headerFooter alignWithMargins="0">
    <oddHeader>&amp;L_&amp;C&amp;14I</oddHeader>
    <oddFooter>&amp;LPMv3.0.4&amp;R&amp;P / &amp;N</oddFooter>
  </headerFooter>
  <colBreaks count="1" manualBreakCount="1">
    <brk id="15" max="1048575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3">
    <pageSetUpPr fitToPage="1"/>
  </sheetPr>
  <dimension ref="A1:AO48"/>
  <sheetViews>
    <sheetView showGridLines="0" topLeftCell="C1" zoomScale="90" zoomScaleNormal="90" zoomScaleSheetLayoutView="90" workbookViewId="0">
      <pane xSplit="5" ySplit="15" topLeftCell="M16" activePane="bottomRight" state="frozen"/>
      <selection activeCell="C1" sqref="C1"/>
      <selection pane="topRight" activeCell="H1" sqref="H1"/>
      <selection pane="bottomLeft" activeCell="C16" sqref="C16"/>
      <selection pane="bottomRight" activeCell="A28" sqref="A28"/>
    </sheetView>
  </sheetViews>
  <sheetFormatPr defaultRowHeight="12.75" x14ac:dyDescent="0.2"/>
  <cols>
    <col min="1" max="2" width="6.7109375" hidden="1" customWidth="1"/>
    <col min="3" max="3" width="3.7109375" customWidth="1"/>
    <col min="4" max="4" width="10.7109375" customWidth="1"/>
    <col min="5" max="5" width="65.7109375" customWidth="1"/>
    <col min="6" max="6" width="7.7109375" customWidth="1"/>
    <col min="7" max="7" width="11.7109375" customWidth="1"/>
    <col min="8" max="8" width="14.7109375" customWidth="1"/>
    <col min="9" max="9" width="18.7109375" customWidth="1"/>
    <col min="10" max="12" width="11.7109375" customWidth="1"/>
    <col min="13" max="15" width="18.7109375" customWidth="1"/>
    <col min="17" max="18" width="11.7109375" hidden="1" customWidth="1"/>
    <col min="19" max="19" width="9.140625" hidden="1" customWidth="1"/>
    <col min="20" max="20" width="10.7109375" hidden="1" customWidth="1"/>
    <col min="21" max="21" width="65.7109375" hidden="1" customWidth="1"/>
    <col min="22" max="22" width="7.7109375" hidden="1" customWidth="1"/>
    <col min="23" max="23" width="11.7109375" hidden="1" customWidth="1"/>
    <col min="24" max="24" width="14.7109375" hidden="1" customWidth="1"/>
    <col min="25" max="25" width="18.7109375" hidden="1" customWidth="1"/>
    <col min="26" max="26" width="25.7109375" hidden="1" customWidth="1"/>
    <col min="27" max="27" width="0" hidden="1" customWidth="1"/>
    <col min="28" max="39" width="11.7109375" customWidth="1"/>
    <col min="40" max="40" width="10.42578125" customWidth="1"/>
    <col min="41" max="41" width="9.140625" hidden="1" customWidth="1"/>
  </cols>
  <sheetData>
    <row r="1" spans="1:41" ht="15.75" x14ac:dyDescent="0.2">
      <c r="C1" s="95"/>
      <c r="D1" s="95"/>
      <c r="E1" s="406" t="str">
        <f>IF(CAIXA.Modo,"BA - Boletim de Aferição","BM - Boletim de Medição")</f>
        <v>BM - Boletim de Medição</v>
      </c>
      <c r="F1" s="95"/>
      <c r="G1" s="407"/>
      <c r="H1" s="95"/>
      <c r="J1" s="407"/>
      <c r="K1" s="407"/>
      <c r="L1" s="407"/>
      <c r="M1" s="407"/>
      <c r="N1" s="407"/>
      <c r="O1" s="64" t="s">
        <v>141</v>
      </c>
    </row>
    <row r="2" spans="1:41" ht="15" x14ac:dyDescent="0.2">
      <c r="A2" s="408" t="s">
        <v>333</v>
      </c>
      <c r="B2" s="409"/>
      <c r="C2" s="100"/>
      <c r="D2" s="100"/>
      <c r="E2" s="410" t="str">
        <f ca="1">IF(Import.RegimeExecução="(SELECIONAR)","Selecione o Regime de Execução na Aba Dados",Import.RegimeExecução&amp;" - "&amp;import.recurso)</f>
        <v>EMPREITADA POR PREÇO GLOBAL - OGU</v>
      </c>
      <c r="F2" s="100"/>
      <c r="G2" s="100"/>
      <c r="H2" s="100"/>
      <c r="J2" s="100"/>
      <c r="K2" s="100"/>
      <c r="L2" s="100"/>
      <c r="M2" s="100"/>
      <c r="N2" s="100"/>
      <c r="O2" s="14" t="s">
        <v>144</v>
      </c>
    </row>
    <row r="3" spans="1:41" x14ac:dyDescent="0.2">
      <c r="A3" s="782" t="b">
        <v>0</v>
      </c>
      <c r="B3" s="782"/>
      <c r="C3" s="100"/>
      <c r="D3" s="100"/>
      <c r="E3" s="105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41" x14ac:dyDescent="0.2">
      <c r="C4" s="100"/>
      <c r="D4" s="689" t="s">
        <v>149</v>
      </c>
      <c r="E4" s="689"/>
      <c r="F4" s="702" t="s">
        <v>147</v>
      </c>
      <c r="G4" s="702"/>
      <c r="H4" s="702"/>
      <c r="I4" s="179" t="s">
        <v>148</v>
      </c>
      <c r="J4" s="689" t="s">
        <v>204</v>
      </c>
      <c r="K4" s="689"/>
      <c r="L4" s="689"/>
      <c r="M4" s="689"/>
      <c r="N4" s="689"/>
      <c r="O4" s="181" t="s">
        <v>334</v>
      </c>
    </row>
    <row r="5" spans="1:41" ht="12.75" customHeight="1" x14ac:dyDescent="0.2">
      <c r="A5" t="s">
        <v>335</v>
      </c>
      <c r="C5" s="100"/>
      <c r="D5" s="698" t="str">
        <f>Import.Proponente</f>
        <v>PREFEITURA MUNICIPAL DE CONCEIÇÃO DOS OUROS</v>
      </c>
      <c r="E5" s="698"/>
      <c r="F5" s="707" t="str">
        <f>Import.CR</f>
        <v>1090.502-01/2023</v>
      </c>
      <c r="G5" s="707"/>
      <c r="H5" s="707"/>
      <c r="I5" s="411" t="str">
        <f>Import.SICONV</f>
        <v>950338/2023</v>
      </c>
      <c r="J5" s="698" t="str">
        <f>Import.Apelido</f>
        <v>Adequação de Estradas Vicinais</v>
      </c>
      <c r="K5" s="698"/>
      <c r="L5" s="698"/>
      <c r="M5" s="698"/>
      <c r="N5" s="698"/>
      <c r="O5" s="412">
        <f>Import.DataInicioObra</f>
        <v>0</v>
      </c>
      <c r="AO5" s="413" t="s">
        <v>336</v>
      </c>
    </row>
    <row r="6" spans="1:41" ht="5.0999999999999996" customHeight="1" x14ac:dyDescent="0.2">
      <c r="C6" s="100"/>
      <c r="D6" s="117"/>
      <c r="E6" s="118"/>
      <c r="F6" s="117"/>
      <c r="G6" s="117"/>
      <c r="H6" s="117"/>
      <c r="I6" s="117"/>
      <c r="J6" s="117"/>
      <c r="K6" s="117"/>
      <c r="L6" s="117"/>
      <c r="M6" s="117"/>
      <c r="N6" s="117"/>
      <c r="O6" s="117"/>
      <c r="AO6" s="414"/>
    </row>
    <row r="7" spans="1:41" ht="12.75" customHeight="1" x14ac:dyDescent="0.2">
      <c r="A7" t="str">
        <f ca="1">RegimeExecucao</f>
        <v>Global</v>
      </c>
      <c r="C7" s="100"/>
      <c r="D7" s="107" t="s">
        <v>337</v>
      </c>
      <c r="E7" s="107" t="s">
        <v>338</v>
      </c>
      <c r="F7" s="689" t="s">
        <v>339</v>
      </c>
      <c r="G7" s="689"/>
      <c r="H7" s="689"/>
      <c r="I7" s="689" t="str">
        <f>IF(TIPOORCAMENTO="Licitado","REGIME DE EXECUÇÃO","MUNICÍPIO / UF")</f>
        <v>MUNICÍPIO / UF</v>
      </c>
      <c r="J7" s="689"/>
      <c r="K7" s="689"/>
      <c r="L7" s="689"/>
      <c r="M7" s="689" t="s">
        <v>340</v>
      </c>
      <c r="N7" s="689"/>
      <c r="O7" s="107" t="s">
        <v>341</v>
      </c>
      <c r="AO7" s="355">
        <f ca="1">BM.MEDAcumulado</f>
        <v>0</v>
      </c>
    </row>
    <row r="8" spans="1:41" ht="12.75" customHeight="1" x14ac:dyDescent="0.2">
      <c r="A8" s="408" t="s">
        <v>342</v>
      </c>
      <c r="B8" s="409"/>
      <c r="C8" s="678" t="s">
        <v>211</v>
      </c>
      <c r="D8" s="415">
        <f>Import.CTEF</f>
        <v>0</v>
      </c>
      <c r="E8" s="68">
        <f>Import.empresa</f>
        <v>0</v>
      </c>
      <c r="F8" s="698">
        <f>Import.CNPJ</f>
        <v>0</v>
      </c>
      <c r="G8" s="698"/>
      <c r="H8" s="698"/>
      <c r="I8" s="698" t="str">
        <f ca="1">IF(TIPOORCAMENTO="Licitado",Import.RegimeExecução,Import.Município)</f>
        <v>CONCEIÇÃO DOS OUROS/MG</v>
      </c>
      <c r="J8" s="698"/>
      <c r="K8" s="698"/>
      <c r="L8" s="698"/>
      <c r="M8" s="698" t="str">
        <f ca="1">TEXT(IF(BM.medicao=1,Import.DataInicioObra,OFFSET($AB$12,0,BM.medicao-1-$AB$13)+1),"dd/mm/aaaa")&amp;" a "&amp;TEXT(OFFSET($AB$12,0,BM.medicao-$AB$13),"dd/mm/aaaa")</f>
        <v>00/01/1900 a 00/01/1900</v>
      </c>
      <c r="N8" s="698"/>
      <c r="O8" s="566">
        <v>1</v>
      </c>
    </row>
    <row r="9" spans="1:41" ht="12.75" customHeight="1" x14ac:dyDescent="0.2">
      <c r="A9" s="612" t="b">
        <v>1</v>
      </c>
      <c r="B9" s="50"/>
      <c r="C9" s="678"/>
      <c r="D9" s="16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</row>
    <row r="10" spans="1:41" x14ac:dyDescent="0.2">
      <c r="C10" s="678"/>
      <c r="D10" s="16"/>
      <c r="E10" s="780" t="str">
        <f>IF(ACOMPANHAMENTO="PLE","Foi selecionado na aba 'MENU' o acompanhamento por PLE.",IF(TIPOORCAMENTO="Proposto","Altere na aba 'MENU' o tipo de orçamento para 'Licitado'.",""))</f>
        <v>Foi selecionado na aba 'MENU' o acompanhamento por PLE.</v>
      </c>
      <c r="F10" s="780"/>
      <c r="G10" s="780"/>
      <c r="H10" s="780"/>
      <c r="I10" s="780"/>
      <c r="J10" s="100"/>
      <c r="K10" s="100"/>
      <c r="L10" s="100"/>
      <c r="N10" s="781" t="str">
        <f ca="1">"Realizado Acumulado: "&amp;TEXT(ROUND($O$15/($I$15+10^-12),4),"0,00%")</f>
        <v>Realizado Acumulado: 0,00%</v>
      </c>
      <c r="O10" s="781"/>
    </row>
    <row r="11" spans="1:41" ht="15" customHeight="1" x14ac:dyDescent="0.25">
      <c r="C11" s="678"/>
      <c r="D11" s="100"/>
      <c r="E11" s="780"/>
      <c r="F11" s="780"/>
      <c r="G11" s="780"/>
      <c r="H11" s="780"/>
      <c r="I11" s="780"/>
      <c r="J11" s="100"/>
      <c r="K11" s="100"/>
      <c r="L11" s="100"/>
      <c r="M11" s="100"/>
      <c r="N11" s="781"/>
      <c r="O11" s="781"/>
      <c r="T11" s="779" t="s">
        <v>343</v>
      </c>
      <c r="U11" s="779"/>
      <c r="V11" s="96"/>
      <c r="W11" s="96"/>
      <c r="X11" s="96"/>
      <c r="Y11" s="96"/>
      <c r="Z11" s="55"/>
      <c r="AB11" s="776" t="s">
        <v>344</v>
      </c>
      <c r="AC11" s="776"/>
      <c r="AD11" s="776"/>
      <c r="AE11" s="776"/>
      <c r="AF11" s="776"/>
      <c r="AG11" s="776"/>
      <c r="AH11" s="776"/>
      <c r="AI11" s="776"/>
      <c r="AJ11" s="776"/>
      <c r="AK11" s="776"/>
      <c r="AL11" s="776"/>
      <c r="AM11" s="776"/>
    </row>
    <row r="12" spans="1:41" ht="15" customHeight="1" x14ac:dyDescent="0.25">
      <c r="C12" s="678"/>
      <c r="D12" s="100"/>
      <c r="E12" s="195" t="s">
        <v>345</v>
      </c>
      <c r="F12" s="100"/>
      <c r="G12" s="100"/>
      <c r="H12" s="100"/>
      <c r="I12" s="100"/>
      <c r="J12" s="777" t="str">
        <f ca="1">"Evolução Física "&amp;CHOOSE(MATCH(RegimeExecucao,{"Unitário","Global"},0),"(Qtde.)","(%)")</f>
        <v>Evolução Física (%)</v>
      </c>
      <c r="K12" s="777"/>
      <c r="L12" s="777"/>
      <c r="M12" s="777" t="s">
        <v>346</v>
      </c>
      <c r="N12" s="777"/>
      <c r="O12" s="777"/>
      <c r="Q12" s="778" t="str">
        <f ca="1">"Aferido (CAIXA) "&amp;CHOOSE(MATCH(RegimeExecucao,{"Unitário","Global"},0),"(Qtde.)","(%)")</f>
        <v>Aferido (CAIXA) (%)</v>
      </c>
      <c r="R12" s="778"/>
      <c r="T12" s="416" t="s">
        <v>347</v>
      </c>
      <c r="U12" s="224"/>
      <c r="V12" s="224"/>
      <c r="W12" s="224"/>
      <c r="X12" s="224"/>
      <c r="Y12" s="224"/>
      <c r="Z12" s="50"/>
      <c r="AB12" s="417"/>
      <c r="AC12" s="418"/>
      <c r="AD12" s="418"/>
      <c r="AE12" s="418"/>
      <c r="AF12" s="418"/>
      <c r="AG12" s="418"/>
      <c r="AH12" s="418"/>
      <c r="AI12" s="418"/>
      <c r="AJ12" s="418"/>
      <c r="AK12" s="418"/>
      <c r="AL12" s="418"/>
      <c r="AM12" s="419"/>
    </row>
    <row r="13" spans="1:41" ht="45" customHeight="1" x14ac:dyDescent="0.2">
      <c r="A13" s="132" t="s">
        <v>224</v>
      </c>
      <c r="B13" s="132" t="s">
        <v>223</v>
      </c>
      <c r="C13" s="131" t="s">
        <v>219</v>
      </c>
      <c r="D13" s="379" t="s">
        <v>233</v>
      </c>
      <c r="E13" s="379" t="s">
        <v>236</v>
      </c>
      <c r="F13" s="420" t="s">
        <v>237</v>
      </c>
      <c r="G13" s="379" t="s">
        <v>205</v>
      </c>
      <c r="H13" s="379" t="s">
        <v>238</v>
      </c>
      <c r="I13" s="379" t="s">
        <v>239</v>
      </c>
      <c r="J13" s="379" t="s">
        <v>348</v>
      </c>
      <c r="K13" s="379" t="s">
        <v>349</v>
      </c>
      <c r="L13" s="379" t="s">
        <v>350</v>
      </c>
      <c r="M13" s="379" t="s">
        <v>348</v>
      </c>
      <c r="N13" s="379" t="s">
        <v>349</v>
      </c>
      <c r="O13" s="379" t="s">
        <v>350</v>
      </c>
      <c r="Q13" s="379" t="s">
        <v>348</v>
      </c>
      <c r="R13" s="379" t="s">
        <v>350</v>
      </c>
      <c r="T13" s="379" t="s">
        <v>233</v>
      </c>
      <c r="U13" s="379" t="s">
        <v>236</v>
      </c>
      <c r="V13" s="420" t="str">
        <f ca="1">IF(RegimeExecucao="Unitário","Unidade","")</f>
        <v/>
      </c>
      <c r="W13" s="379" t="str">
        <f ca="1">CHOOSE(MATCH(RegimeExecucao,{"Unitário","Global"},0),"Quant. Glosada (unid)","Percentual Glosado (%)")</f>
        <v>Percentual Glosado (%)</v>
      </c>
      <c r="X13" s="379" t="str">
        <f ca="1">CHOOSE(MATCH(RegimeExecucao,{"Unitário","Global"},0),"Preço Unitário (R$)","Valor Total do Item (R$)")</f>
        <v>Valor Total do Item (R$)</v>
      </c>
      <c r="Y13" s="379" t="s">
        <v>351</v>
      </c>
      <c r="Z13" s="379" t="s">
        <v>352</v>
      </c>
      <c r="AA13" s="421"/>
      <c r="AB13" s="422">
        <f ca="1">IF(BM.medicao&lt;=12,1,TRUNC((BM.medicao - 2)/11,0) * 11 + 1)</f>
        <v>1</v>
      </c>
      <c r="AC13" s="422">
        <f ca="1">OFFSET(AC13,0,-1)+1</f>
        <v>2</v>
      </c>
      <c r="AD13" s="422">
        <f t="shared" ref="AD13:AM13" ca="1" si="0">OFFSET(AD13,0,-1)+1</f>
        <v>3</v>
      </c>
      <c r="AE13" s="422">
        <f t="shared" ca="1" si="0"/>
        <v>4</v>
      </c>
      <c r="AF13" s="422">
        <f t="shared" ca="1" si="0"/>
        <v>5</v>
      </c>
      <c r="AG13" s="422">
        <f t="shared" ca="1" si="0"/>
        <v>6</v>
      </c>
      <c r="AH13" s="422">
        <f t="shared" ca="1" si="0"/>
        <v>7</v>
      </c>
      <c r="AI13" s="422">
        <f t="shared" ca="1" si="0"/>
        <v>8</v>
      </c>
      <c r="AJ13" s="422">
        <f t="shared" ca="1" si="0"/>
        <v>9</v>
      </c>
      <c r="AK13" s="422">
        <f t="shared" ca="1" si="0"/>
        <v>10</v>
      </c>
      <c r="AL13" s="422">
        <f t="shared" ca="1" si="0"/>
        <v>11</v>
      </c>
      <c r="AM13" s="422">
        <f t="shared" ca="1" si="0"/>
        <v>12</v>
      </c>
      <c r="AO13" s="132" t="s">
        <v>353</v>
      </c>
    </row>
    <row r="14" spans="1:41" hidden="1" x14ac:dyDescent="0.2">
      <c r="A14" t="str">
        <f ca="1">ORÇAMENTO!C14</f>
        <v>S</v>
      </c>
      <c r="B14">
        <f ca="1">ORÇAMENTO!D14</f>
        <v>0</v>
      </c>
      <c r="C14" s="139" t="str">
        <f ca="1">IF(OR($I14&gt;0,$A14=1,$A14=2,$A14=3,$A14=4),"F","")</f>
        <v/>
      </c>
      <c r="D14" s="142" t="str">
        <f ca="1">ORÇAMENTO!O14</f>
        <v>-</v>
      </c>
      <c r="E14" s="202" t="str">
        <f ca="1">ORÇAMENTO.Descricao</f>
        <v>(abra o arquivo 'Referência 11-2023.xls)</v>
      </c>
      <c r="F14" s="203" t="str">
        <f ca="1">IF(RegimeExecucao="Global","",ORÇAMENTO.Unidade)</f>
        <v/>
      </c>
      <c r="G14" s="147" t="str">
        <f ca="1">IF(RegimeExecucao="Global","",ORÇAMENTO!T14)</f>
        <v/>
      </c>
      <c r="H14" s="147" t="str">
        <f ca="1">IF(RegimeExecucao="Global","",ORÇAMENTO!W14)</f>
        <v/>
      </c>
      <c r="I14" s="150">
        <f ca="1">ORÇAMENTO!X14</f>
        <v>0</v>
      </c>
      <c r="J14" s="423">
        <f ca="1">IF($A14="S",IF(CAIXA.Modo,BM.AFAnterior,BM.MEDAnterior),IF(AND(RegimeExecucao="Global",$I14&gt;0,COUNTIF($AB$13:$AM$13,BM.medicao-1)&gt;0),M14/$I14*100,0))</f>
        <v>0</v>
      </c>
      <c r="K14" s="147">
        <f ca="1">L14-J14</f>
        <v>0</v>
      </c>
      <c r="L14" s="424">
        <f ca="1">IF($A14="S",IF(CAIXA.Modo,BM.AFAcumulado,BM.MEDAcumulado),IF(AND(RegimeExecucao="Global",$I14&gt;0,COUNTIF($AB$13:$AM$13,BM.medicao)&gt;0),O14/$I14*100,0))</f>
        <v>0</v>
      </c>
      <c r="M14" s="425">
        <f ca="1">IF($A14="S",VTOTALBM,IF($A14=0,0,ROUND(SomaAgrupBM,15-13*ORÇAMENTO!$AF$11)))</f>
        <v>0</v>
      </c>
      <c r="N14" s="426">
        <f ca="1">O14-M14</f>
        <v>0</v>
      </c>
      <c r="O14" s="150">
        <f ca="1">IF($A14="S",VTOTALBM,IF($A14=0,0,ROUND(SomaAgrupBM,15-13*ORÇAMENTO!$AF$11)))</f>
        <v>0</v>
      </c>
      <c r="Q14" s="427"/>
      <c r="R14" s="428"/>
      <c r="T14" s="142" t="str">
        <f ca="1">IF($W14&gt;0,$D14,"")</f>
        <v/>
      </c>
      <c r="U14" s="202" t="str">
        <f ca="1">IF($W14&gt;0,$E14,"")</f>
        <v/>
      </c>
      <c r="V14" s="203" t="str">
        <f ca="1">IF(AND($W14&gt;0,RegimeExecucao="Unitário"),$F14,"")</f>
        <v/>
      </c>
      <c r="W14" s="630">
        <f ca="1">IF($Y14&gt;0,CHOOSE(MATCH(RegimeExecucao,{"Unitário","Global"},0),IF($A14="S",$Y14/$X14,""),($Y14/$X14)*100),0)</f>
        <v>0</v>
      </c>
      <c r="X14" s="429" t="str">
        <f ca="1">IF($Y14&gt;0,CHOOSE(MATCH(RegimeExecucao,{"Unitário","Global"},0),IF($A14="S",ROUND($H14,ORÇAMENTO!$AF$10),""),ROUND($I14,ORÇAMENTO!$AF$11)),"")</f>
        <v/>
      </c>
      <c r="Y14" s="429">
        <f ca="1">AO14-O14</f>
        <v>0</v>
      </c>
      <c r="Z14" s="430"/>
      <c r="AB14" s="427"/>
      <c r="AC14" s="595"/>
      <c r="AD14" s="595"/>
      <c r="AE14" s="595"/>
      <c r="AF14" s="595"/>
      <c r="AG14" s="595"/>
      <c r="AH14" s="595"/>
      <c r="AI14" s="595"/>
      <c r="AJ14" s="595"/>
      <c r="AK14" s="595"/>
      <c r="AL14" s="595"/>
      <c r="AM14" s="428"/>
      <c r="AO14">
        <f ca="1">IF($A14="S",IF(BM!$I14=0,0,CHOOSE(MATCH(RegimeExecucao,{"Global","Unitário"},0),ROUND(ROUND(BM.MEDAcumulado,15-13*BM!$A$9)/100*BM!$I14,15-13*ORÇAMENTO!$AF$11),ROUND(ROUND(BM.MEDAcumulado,15-13*BM!$A$9)*ROUND(BM!$H14,15-13*ORÇAMENTO!$AF$10),15-13*ORÇAMENTO!$AF$11))),IF($A14=0,0,ROUND(SomaAgrupBM,15-13*ORÇAMENTO!$AF$11)))</f>
        <v>0</v>
      </c>
    </row>
    <row r="15" spans="1:41" x14ac:dyDescent="0.2">
      <c r="C15" s="139" t="s">
        <v>248</v>
      </c>
      <c r="D15" s="775" t="str">
        <f>"Objeto do CTEF: "&amp;Import.DescLote</f>
        <v>Objeto do CTEF: Adequação de Estradas Vicinais</v>
      </c>
      <c r="E15" s="775"/>
      <c r="F15" s="631"/>
      <c r="G15" s="632"/>
      <c r="H15" s="632" t="s">
        <v>354</v>
      </c>
      <c r="I15" s="633">
        <f>IF(OR(ACOMPANHAMENTO="PLE",TIPOORCAMENTO="Proposto"),0,ORÇAMENTO!$X$15)</f>
        <v>0</v>
      </c>
      <c r="J15" s="431">
        <f ca="1">IF(M$15=0,0,IF(RegimeExecucao="Global",M$15/$I$15*100,0))</f>
        <v>0</v>
      </c>
      <c r="K15" s="431">
        <f ca="1">L15-J15</f>
        <v>0</v>
      </c>
      <c r="L15" s="431">
        <f ca="1">IF(O$15=0,0,IF(RegimeExecucao="Global",O$15/$I$15*100,0))</f>
        <v>0</v>
      </c>
      <c r="M15" s="432">
        <f ca="1">IF(OR(ACOMPANHAMENTO="PLE",TIPOORCAMENTO="Proposto"),0,SUMIF(OFFSET($A15,1,0):$A$33,"S",OFFSET(M15,1,0):M$33))</f>
        <v>0</v>
      </c>
      <c r="N15" s="432">
        <f ca="1">O15-M15</f>
        <v>0</v>
      </c>
      <c r="O15" s="432">
        <f ca="1">IF(OR(ACOMPANHAMENTO="PLE",TIPOORCAMENTO="Proposto"),0,SUMIF(OFFSET($A15,1,0):$A$33,"S",OFFSET(O15,1,0):O$33))</f>
        <v>0</v>
      </c>
      <c r="Q15" s="433"/>
      <c r="R15" s="433"/>
      <c r="T15" s="434"/>
      <c r="U15" s="435"/>
      <c r="V15" s="435"/>
      <c r="W15" s="435"/>
      <c r="X15" s="435"/>
      <c r="Y15" s="435"/>
      <c r="Z15" s="436"/>
      <c r="AB15" s="771" t="str">
        <f ca="1">"Preencher abaixo com a "&amp;CHOOSE(MATCH(RegimeExecucao,{"Unitário","Global"},0),"QUANTIDADE","PORCENTAGEM")&amp;" executada no PERÍODO"</f>
        <v>Preencher abaixo com a PORCENTAGEM executada no PERÍODO</v>
      </c>
      <c r="AC15" s="771"/>
      <c r="AD15" s="771"/>
      <c r="AE15" s="771"/>
      <c r="AF15" s="771"/>
      <c r="AG15" s="771"/>
      <c r="AH15" s="771"/>
      <c r="AI15" s="771"/>
      <c r="AJ15" s="771"/>
      <c r="AK15" s="771"/>
      <c r="AL15" s="771"/>
      <c r="AM15" s="771"/>
    </row>
    <row r="16" spans="1:41" x14ac:dyDescent="0.2">
      <c r="A16">
        <f ca="1">ORÇAMENTO!C16</f>
        <v>1</v>
      </c>
      <c r="B16">
        <f ca="1">ORÇAMENTO!D16</f>
        <v>17</v>
      </c>
      <c r="C16" s="139" t="str">
        <f t="shared" ref="C16:C26" ca="1" si="1">IF(OR($I16&gt;0,$A16=1,$A16=2,$A16=3,$A16=4),"F","")</f>
        <v>F</v>
      </c>
      <c r="D16" s="142" t="str">
        <f ca="1">ORÇAMENTO!O16</f>
        <v>1.</v>
      </c>
      <c r="E16" s="202" t="str">
        <f t="shared" ref="E16:E26" si="2">ORÇAMENTO.Descricao</f>
        <v xml:space="preserve">Adequação de Estradas Vicinais  </v>
      </c>
      <c r="F16" s="203" t="str">
        <f t="shared" ref="F16:F26" ca="1" si="3">IF(RegimeExecucao="Global","",ORÇAMENTO.Unidade)</f>
        <v/>
      </c>
      <c r="G16" s="147" t="str">
        <f ca="1">IF(RegimeExecucao="Global","",ORÇAMENTO!T16)</f>
        <v/>
      </c>
      <c r="H16" s="147" t="str">
        <f ca="1">IF(RegimeExecucao="Global","",ORÇAMENTO!W16)</f>
        <v/>
      </c>
      <c r="I16" s="150">
        <f ca="1">ORÇAMENTO!X16</f>
        <v>501148.51558840001</v>
      </c>
      <c r="J16" s="423">
        <f t="shared" ref="J16:J26" ca="1" si="4">IF($A16="S",IF(CAIXA.Modo,BM.AFAnterior,BM.MEDAnterior),IF(AND(RegimeExecucao="Global",$I16&gt;0,COUNTIF($AB$13:$AM$13,BM.medicao-1)&gt;0),M16/$I16*100,0))</f>
        <v>0</v>
      </c>
      <c r="K16" s="147">
        <f t="shared" ref="K16:K26" ca="1" si="5">L16-J16</f>
        <v>0</v>
      </c>
      <c r="L16" s="424">
        <f t="shared" ref="L16:L26" ca="1" si="6">IF($A16="S",IF(CAIXA.Modo,BM.AFAcumulado,BM.MEDAcumulado),IF(AND(RegimeExecucao="Global",$I16&gt;0,COUNTIF($AB$13:$AM$13,BM.medicao)&gt;0),O16/$I16*100,0))</f>
        <v>0</v>
      </c>
      <c r="M16" s="425">
        <f ca="1">IF($A16="S",VTOTALBM,IF($A16=0,0,ROUND(SomaAgrupBM,15-13*ORÇAMENTO!$AF$11)))</f>
        <v>0</v>
      </c>
      <c r="N16" s="426">
        <f t="shared" ref="N16:N26" ca="1" si="7">O16-M16</f>
        <v>0</v>
      </c>
      <c r="O16" s="150">
        <f ca="1">IF($A16="S",VTOTALBM,IF($A16=0,0,ROUND(SomaAgrupBM,15-13*ORÇAMENTO!$AF$11)))</f>
        <v>0</v>
      </c>
      <c r="Q16" s="427"/>
      <c r="R16" s="428"/>
      <c r="T16" s="142" t="str">
        <f t="shared" ref="T16:T26" ca="1" si="8">IF($W16&gt;0,$D16,"")</f>
        <v/>
      </c>
      <c r="U16" s="202" t="str">
        <f t="shared" ref="U16:U26" ca="1" si="9">IF($W16&gt;0,$E16,"")</f>
        <v/>
      </c>
      <c r="V16" s="203" t="str">
        <f t="shared" ref="V16:V26" ca="1" si="10">IF(AND($W16&gt;0,RegimeExecucao="Unitário"),$F16,"")</f>
        <v/>
      </c>
      <c r="W16" s="630">
        <f ca="1">IF($Y16&gt;0,CHOOSE(MATCH(RegimeExecucao,{"Unitário","Global"},0),IF($A16="S",$Y16/$X16,""),($Y16/$X16)*100),0)</f>
        <v>0</v>
      </c>
      <c r="X16" s="429" t="str">
        <f ca="1">IF($Y16&gt;0,CHOOSE(MATCH(RegimeExecucao,{"Unitário","Global"},0),IF($A16="S",ROUND($H16,ORÇAMENTO!$AF$10),""),ROUND($I16,ORÇAMENTO!$AF$11)),"")</f>
        <v/>
      </c>
      <c r="Y16" s="429">
        <f t="shared" ref="Y16:Y26" ca="1" si="11">AO16-O16</f>
        <v>0</v>
      </c>
      <c r="Z16" s="430"/>
      <c r="AB16" s="427"/>
      <c r="AC16" s="595"/>
      <c r="AD16" s="595"/>
      <c r="AE16" s="595"/>
      <c r="AF16" s="595"/>
      <c r="AG16" s="595"/>
      <c r="AH16" s="595"/>
      <c r="AI16" s="595"/>
      <c r="AJ16" s="595"/>
      <c r="AK16" s="595"/>
      <c r="AL16" s="595"/>
      <c r="AM16" s="428"/>
      <c r="AO16">
        <f ca="1">IF($A16="S",IF(BM!$I16=0,0,CHOOSE(MATCH(RegimeExecucao,{"Global","Unitário"},0),ROUND(ROUND(BM.MEDAcumulado,15-13*BM!$A$9)/100*BM!$I16,15-13*ORÇAMENTO!$AF$11),ROUND(ROUND(BM.MEDAcumulado,15-13*BM!$A$9)*ROUND(BM!$H16,15-13*ORÇAMENTO!$AF$10),15-13*ORÇAMENTO!$AF$11))),IF($A16=0,0,ROUND(SomaAgrupBM,15-13*ORÇAMENTO!$AF$11)))</f>
        <v>0</v>
      </c>
    </row>
    <row r="17" spans="1:41" x14ac:dyDescent="0.2">
      <c r="A17">
        <f ca="1">ORÇAMENTO!C17</f>
        <v>2</v>
      </c>
      <c r="B17">
        <f ca="1">ORÇAMENTO!D17</f>
        <v>3</v>
      </c>
      <c r="C17" s="139" t="str">
        <f t="shared" ca="1" si="1"/>
        <v>F</v>
      </c>
      <c r="D17" s="142" t="str">
        <f ca="1">ORÇAMENTO!O17</f>
        <v>1.1.</v>
      </c>
      <c r="E17" s="202" t="str">
        <f t="shared" si="2"/>
        <v>SERVIÇOS PRELIMINARES</v>
      </c>
      <c r="F17" s="203" t="str">
        <f t="shared" ca="1" si="3"/>
        <v/>
      </c>
      <c r="G17" s="147" t="str">
        <f ca="1">IF(RegimeExecucao="Global","",ORÇAMENTO!T17)</f>
        <v/>
      </c>
      <c r="H17" s="147" t="str">
        <f ca="1">IF(RegimeExecucao="Global","",ORÇAMENTO!W17)</f>
        <v/>
      </c>
      <c r="I17" s="150">
        <f ca="1">ORÇAMENTO!X17</f>
        <v>6784.81</v>
      </c>
      <c r="J17" s="423">
        <f t="shared" ca="1" si="4"/>
        <v>0</v>
      </c>
      <c r="K17" s="147">
        <f t="shared" ca="1" si="5"/>
        <v>0</v>
      </c>
      <c r="L17" s="424">
        <f t="shared" ca="1" si="6"/>
        <v>0</v>
      </c>
      <c r="M17" s="425">
        <f ca="1">IF($A17="S",VTOTALBM,IF($A17=0,0,ROUND(SomaAgrupBM,15-13*ORÇAMENTO!$AF$11)))</f>
        <v>0</v>
      </c>
      <c r="N17" s="426">
        <f t="shared" ca="1" si="7"/>
        <v>0</v>
      </c>
      <c r="O17" s="150">
        <f ca="1">IF($A17="S",VTOTALBM,IF($A17=0,0,ROUND(SomaAgrupBM,15-13*ORÇAMENTO!$AF$11)))</f>
        <v>0</v>
      </c>
      <c r="Q17" s="427"/>
      <c r="R17" s="428"/>
      <c r="T17" s="142" t="str">
        <f t="shared" ca="1" si="8"/>
        <v/>
      </c>
      <c r="U17" s="202" t="str">
        <f t="shared" ca="1" si="9"/>
        <v/>
      </c>
      <c r="V17" s="203" t="str">
        <f t="shared" ca="1" si="10"/>
        <v/>
      </c>
      <c r="W17" s="630">
        <f ca="1">IF($Y17&gt;0,CHOOSE(MATCH(RegimeExecucao,{"Unitário","Global"},0),IF($A17="S",$Y17/$X17,""),($Y17/$X17)*100),0)</f>
        <v>0</v>
      </c>
      <c r="X17" s="429" t="str">
        <f ca="1">IF($Y17&gt;0,CHOOSE(MATCH(RegimeExecucao,{"Unitário","Global"},0),IF($A17="S",ROUND($H17,ORÇAMENTO!$AF$10),""),ROUND($I17,ORÇAMENTO!$AF$11)),"")</f>
        <v/>
      </c>
      <c r="Y17" s="429">
        <f t="shared" ca="1" si="11"/>
        <v>0</v>
      </c>
      <c r="Z17" s="430"/>
      <c r="AB17" s="427"/>
      <c r="AC17" s="595"/>
      <c r="AD17" s="595"/>
      <c r="AE17" s="595"/>
      <c r="AF17" s="595"/>
      <c r="AG17" s="595"/>
      <c r="AH17" s="595"/>
      <c r="AI17" s="595"/>
      <c r="AJ17" s="595"/>
      <c r="AK17" s="595"/>
      <c r="AL17" s="595"/>
      <c r="AM17" s="428"/>
      <c r="AO17">
        <f ca="1">IF($A17="S",IF(BM!$I17=0,0,CHOOSE(MATCH(RegimeExecucao,{"Global","Unitário"},0),ROUND(ROUND(BM.MEDAcumulado,15-13*BM!$A$9)/100*BM!$I17,15-13*ORÇAMENTO!$AF$11),ROUND(ROUND(BM.MEDAcumulado,15-13*BM!$A$9)*ROUND(BM!$H17,15-13*ORÇAMENTO!$AF$10),15-13*ORÇAMENTO!$AF$11))),IF($A17=0,0,ROUND(SomaAgrupBM,15-13*ORÇAMENTO!$AF$11)))</f>
        <v>0</v>
      </c>
    </row>
    <row r="18" spans="1:41" ht="25.5" x14ac:dyDescent="0.2">
      <c r="A18" t="str">
        <f ca="1">ORÇAMENTO!C18</f>
        <v>S</v>
      </c>
      <c r="B18">
        <f ca="1">ORÇAMENTO!D18</f>
        <v>0</v>
      </c>
      <c r="C18" s="139" t="str">
        <f t="shared" ca="1" si="1"/>
        <v>F</v>
      </c>
      <c r="D18" s="142" t="str">
        <f ca="1">ORÇAMENTO!O18</f>
        <v>1.1.1.</v>
      </c>
      <c r="E18" s="202" t="str">
        <f t="shared" ca="1" si="2"/>
        <v>(abra o arquivo 'Referência 11-2023.xls)</v>
      </c>
      <c r="F18" s="203" t="str">
        <f t="shared" ca="1" si="3"/>
        <v/>
      </c>
      <c r="G18" s="147" t="str">
        <f ca="1">IF(RegimeExecucao="Global","",ORÇAMENTO!T18)</f>
        <v/>
      </c>
      <c r="H18" s="147" t="str">
        <f ca="1">IF(RegimeExecucao="Global","",ORÇAMENTO!W18)</f>
        <v/>
      </c>
      <c r="I18" s="150">
        <f ca="1">ORÇAMENTO!X18</f>
        <v>1671.89</v>
      </c>
      <c r="J18" s="423">
        <f t="shared" ca="1" si="4"/>
        <v>0</v>
      </c>
      <c r="K18" s="147">
        <f t="shared" ca="1" si="5"/>
        <v>0</v>
      </c>
      <c r="L18" s="424">
        <f t="shared" ca="1" si="6"/>
        <v>0</v>
      </c>
      <c r="M18" s="425">
        <f ca="1">IF($A18="S",VTOTALBM,IF($A18=0,0,ROUND(SomaAgrupBM,15-13*ORÇAMENTO!$AF$11)))</f>
        <v>0</v>
      </c>
      <c r="N18" s="426">
        <f t="shared" ca="1" si="7"/>
        <v>0</v>
      </c>
      <c r="O18" s="150">
        <f ca="1">IF($A18="S",VTOTALBM,IF($A18=0,0,ROUND(SomaAgrupBM,15-13*ORÇAMENTO!$AF$11)))</f>
        <v>0</v>
      </c>
      <c r="Q18" s="427"/>
      <c r="R18" s="428"/>
      <c r="T18" s="142" t="str">
        <f t="shared" ca="1" si="8"/>
        <v/>
      </c>
      <c r="U18" s="202" t="str">
        <f t="shared" ca="1" si="9"/>
        <v/>
      </c>
      <c r="V18" s="203" t="str">
        <f t="shared" ca="1" si="10"/>
        <v/>
      </c>
      <c r="W18" s="630">
        <f ca="1">IF($Y18&gt;0,CHOOSE(MATCH(RegimeExecucao,{"Unitário","Global"},0),IF($A18="S",$Y18/$X18,""),($Y18/$X18)*100),0)</f>
        <v>0</v>
      </c>
      <c r="X18" s="429" t="str">
        <f ca="1">IF($Y18&gt;0,CHOOSE(MATCH(RegimeExecucao,{"Unitário","Global"},0),IF($A18="S",ROUND($H18,ORÇAMENTO!$AF$10),""),ROUND($I18,ORÇAMENTO!$AF$11)),"")</f>
        <v/>
      </c>
      <c r="Y18" s="429">
        <f t="shared" ca="1" si="11"/>
        <v>0</v>
      </c>
      <c r="Z18" s="430"/>
      <c r="AB18" s="427"/>
      <c r="AC18" s="595"/>
      <c r="AD18" s="595"/>
      <c r="AE18" s="595"/>
      <c r="AF18" s="595"/>
      <c r="AG18" s="595"/>
      <c r="AH18" s="595"/>
      <c r="AI18" s="595"/>
      <c r="AJ18" s="595"/>
      <c r="AK18" s="595"/>
      <c r="AL18" s="595"/>
      <c r="AM18" s="428"/>
      <c r="AO18">
        <f ca="1">IF($A18="S",IF(BM!$I18=0,0,CHOOSE(MATCH(RegimeExecucao,{"Global","Unitário"},0),ROUND(ROUND(BM.MEDAcumulado,15-13*BM!$A$9)/100*BM!$I18,15-13*ORÇAMENTO!$AF$11),ROUND(ROUND(BM.MEDAcumulado,15-13*BM!$A$9)*ROUND(BM!$H18,15-13*ORÇAMENTO!$AF$10),15-13*ORÇAMENTO!$AF$11))),IF($A18=0,0,ROUND(SomaAgrupBM,15-13*ORÇAMENTO!$AF$11)))</f>
        <v>0</v>
      </c>
    </row>
    <row r="19" spans="1:41" x14ac:dyDescent="0.2">
      <c r="A19" t="str">
        <f ca="1">ORÇAMENTO!C19</f>
        <v>S</v>
      </c>
      <c r="B19">
        <f ca="1">ORÇAMENTO!D19</f>
        <v>0</v>
      </c>
      <c r="C19" s="139" t="str">
        <f t="shared" ca="1" si="1"/>
        <v>F</v>
      </c>
      <c r="D19" s="142" t="str">
        <f ca="1">ORÇAMENTO!O19</f>
        <v>1.1.2.</v>
      </c>
      <c r="E19" s="202" t="str">
        <f t="shared" si="2"/>
        <v>Regularização do subleito</v>
      </c>
      <c r="F19" s="203" t="str">
        <f t="shared" ca="1" si="3"/>
        <v/>
      </c>
      <c r="G19" s="147" t="str">
        <f ca="1">IF(RegimeExecucao="Global","",ORÇAMENTO!T19)</f>
        <v/>
      </c>
      <c r="H19" s="147" t="str">
        <f ca="1">IF(RegimeExecucao="Global","",ORÇAMENTO!W19)</f>
        <v/>
      </c>
      <c r="I19" s="150">
        <f ca="1">ORÇAMENTO!X19</f>
        <v>5112.92</v>
      </c>
      <c r="J19" s="423">
        <f t="shared" ca="1" si="4"/>
        <v>0</v>
      </c>
      <c r="K19" s="147">
        <f t="shared" ca="1" si="5"/>
        <v>0</v>
      </c>
      <c r="L19" s="424">
        <f t="shared" ca="1" si="6"/>
        <v>0</v>
      </c>
      <c r="M19" s="425">
        <f ca="1">IF($A19="S",VTOTALBM,IF($A19=0,0,ROUND(SomaAgrupBM,15-13*ORÇAMENTO!$AF$11)))</f>
        <v>0</v>
      </c>
      <c r="N19" s="426">
        <f t="shared" ca="1" si="7"/>
        <v>0</v>
      </c>
      <c r="O19" s="150">
        <f ca="1">IF($A19="S",VTOTALBM,IF($A19=0,0,ROUND(SomaAgrupBM,15-13*ORÇAMENTO!$AF$11)))</f>
        <v>0</v>
      </c>
      <c r="Q19" s="427"/>
      <c r="R19" s="428"/>
      <c r="T19" s="142" t="str">
        <f t="shared" ca="1" si="8"/>
        <v/>
      </c>
      <c r="U19" s="202" t="str">
        <f t="shared" ca="1" si="9"/>
        <v/>
      </c>
      <c r="V19" s="203" t="str">
        <f t="shared" ca="1" si="10"/>
        <v/>
      </c>
      <c r="W19" s="630">
        <f ca="1">IF($Y19&gt;0,CHOOSE(MATCH(RegimeExecucao,{"Unitário","Global"},0),IF($A19="S",$Y19/$X19,""),($Y19/$X19)*100),0)</f>
        <v>0</v>
      </c>
      <c r="X19" s="429" t="str">
        <f ca="1">IF($Y19&gt;0,CHOOSE(MATCH(RegimeExecucao,{"Unitário","Global"},0),IF($A19="S",ROUND($H19,ORÇAMENTO!$AF$10),""),ROUND($I19,ORÇAMENTO!$AF$11)),"")</f>
        <v/>
      </c>
      <c r="Y19" s="429">
        <f t="shared" ca="1" si="11"/>
        <v>0</v>
      </c>
      <c r="Z19" s="430"/>
      <c r="AB19" s="427"/>
      <c r="AC19" s="595"/>
      <c r="AD19" s="595"/>
      <c r="AE19" s="595"/>
      <c r="AF19" s="595"/>
      <c r="AG19" s="595"/>
      <c r="AH19" s="595"/>
      <c r="AI19" s="595"/>
      <c r="AJ19" s="595"/>
      <c r="AK19" s="595"/>
      <c r="AL19" s="595"/>
      <c r="AM19" s="428"/>
      <c r="AO19">
        <f ca="1">IF($A19="S",IF(BM!$I19=0,0,CHOOSE(MATCH(RegimeExecucao,{"Global","Unitário"},0),ROUND(ROUND(BM.MEDAcumulado,15-13*BM!$A$9)/100*BM!$I19,15-13*ORÇAMENTO!$AF$11),ROUND(ROUND(BM.MEDAcumulado,15-13*BM!$A$9)*ROUND(BM!$H19,15-13*ORÇAMENTO!$AF$10),15-13*ORÇAMENTO!$AF$11))),IF($A19=0,0,ROUND(SomaAgrupBM,15-13*ORÇAMENTO!$AF$11)))</f>
        <v>0</v>
      </c>
    </row>
    <row r="20" spans="1:41" x14ac:dyDescent="0.2">
      <c r="A20">
        <f ca="1">ORÇAMENTO!C20</f>
        <v>2</v>
      </c>
      <c r="B20">
        <f ca="1">ORÇAMENTO!D20</f>
        <v>2</v>
      </c>
      <c r="C20" s="139" t="str">
        <f t="shared" ca="1" si="1"/>
        <v>F</v>
      </c>
      <c r="D20" s="142" t="str">
        <f ca="1">ORÇAMENTO!O20</f>
        <v>1.2.</v>
      </c>
      <c r="E20" s="202" t="str">
        <f t="shared" si="2"/>
        <v>ADMINISTRAÇÃO LOCAL</v>
      </c>
      <c r="F20" s="203" t="str">
        <f t="shared" ca="1" si="3"/>
        <v/>
      </c>
      <c r="G20" s="147" t="str">
        <f ca="1">IF(RegimeExecucao="Global","",ORÇAMENTO!T20)</f>
        <v/>
      </c>
      <c r="H20" s="147" t="str">
        <f ca="1">IF(RegimeExecucao="Global","",ORÇAMENTO!W20)</f>
        <v/>
      </c>
      <c r="I20" s="150">
        <f ca="1">ORÇAMENTO!X20</f>
        <v>11619.1855884</v>
      </c>
      <c r="J20" s="423">
        <f t="shared" ca="1" si="4"/>
        <v>0</v>
      </c>
      <c r="K20" s="147">
        <f t="shared" ca="1" si="5"/>
        <v>0</v>
      </c>
      <c r="L20" s="424">
        <f t="shared" ca="1" si="6"/>
        <v>0</v>
      </c>
      <c r="M20" s="425">
        <f ca="1">IF($A20="S",VTOTALBM,IF($A20=0,0,ROUND(SomaAgrupBM,15-13*ORÇAMENTO!$AF$11)))</f>
        <v>0</v>
      </c>
      <c r="N20" s="426">
        <f t="shared" ca="1" si="7"/>
        <v>0</v>
      </c>
      <c r="O20" s="150">
        <f ca="1">IF($A20="S",VTOTALBM,IF($A20=0,0,ROUND(SomaAgrupBM,15-13*ORÇAMENTO!$AF$11)))</f>
        <v>0</v>
      </c>
      <c r="Q20" s="427"/>
      <c r="R20" s="428"/>
      <c r="T20" s="142" t="str">
        <f t="shared" ca="1" si="8"/>
        <v/>
      </c>
      <c r="U20" s="202" t="str">
        <f t="shared" ca="1" si="9"/>
        <v/>
      </c>
      <c r="V20" s="203" t="str">
        <f t="shared" ca="1" si="10"/>
        <v/>
      </c>
      <c r="W20" s="630">
        <f ca="1">IF($Y20&gt;0,CHOOSE(MATCH(RegimeExecucao,{"Unitário","Global"},0),IF($A20="S",$Y20/$X20,""),($Y20/$X20)*100),0)</f>
        <v>0</v>
      </c>
      <c r="X20" s="429" t="str">
        <f ca="1">IF($Y20&gt;0,CHOOSE(MATCH(RegimeExecucao,{"Unitário","Global"},0),IF($A20="S",ROUND($H20,ORÇAMENTO!$AF$10),""),ROUND($I20,ORÇAMENTO!$AF$11)),"")</f>
        <v/>
      </c>
      <c r="Y20" s="429">
        <f t="shared" ca="1" si="11"/>
        <v>0</v>
      </c>
      <c r="Z20" s="430"/>
      <c r="AB20" s="427"/>
      <c r="AC20" s="595"/>
      <c r="AD20" s="595"/>
      <c r="AE20" s="595"/>
      <c r="AF20" s="595"/>
      <c r="AG20" s="595"/>
      <c r="AH20" s="595"/>
      <c r="AI20" s="595"/>
      <c r="AJ20" s="595"/>
      <c r="AK20" s="595"/>
      <c r="AL20" s="595"/>
      <c r="AM20" s="428"/>
      <c r="AO20">
        <f ca="1">IF($A20="S",IF(BM!$I20=0,0,CHOOSE(MATCH(RegimeExecucao,{"Global","Unitário"},0),ROUND(ROUND(BM.MEDAcumulado,15-13*BM!$A$9)/100*BM!$I20,15-13*ORÇAMENTO!$AF$11),ROUND(ROUND(BM.MEDAcumulado,15-13*BM!$A$9)*ROUND(BM!$H20,15-13*ORÇAMENTO!$AF$10),15-13*ORÇAMENTO!$AF$11))),IF($A20=0,0,ROUND(SomaAgrupBM,15-13*ORÇAMENTO!$AF$11)))</f>
        <v>0</v>
      </c>
    </row>
    <row r="21" spans="1:41" x14ac:dyDescent="0.2">
      <c r="A21" t="str">
        <f ca="1">ORÇAMENTO!C21</f>
        <v>S</v>
      </c>
      <c r="B21">
        <f ca="1">ORÇAMENTO!D21</f>
        <v>0</v>
      </c>
      <c r="C21" s="139" t="str">
        <f t="shared" ca="1" si="1"/>
        <v>F</v>
      </c>
      <c r="D21" s="142" t="str">
        <f ca="1">ORÇAMENTO!O21</f>
        <v>1.2.1.</v>
      </c>
      <c r="E21" s="202" t="str">
        <f t="shared" si="2"/>
        <v>ADMINISTRAÇÃO LOCAL</v>
      </c>
      <c r="F21" s="203" t="str">
        <f t="shared" ca="1" si="3"/>
        <v/>
      </c>
      <c r="G21" s="147" t="str">
        <f ca="1">IF(RegimeExecucao="Global","",ORÇAMENTO!T21)</f>
        <v/>
      </c>
      <c r="H21" s="147" t="str">
        <f ca="1">IF(RegimeExecucao="Global","",ORÇAMENTO!W21)</f>
        <v/>
      </c>
      <c r="I21" s="150">
        <f ca="1">ORÇAMENTO!X21</f>
        <v>11619.1855884</v>
      </c>
      <c r="J21" s="423">
        <f t="shared" ca="1" si="4"/>
        <v>0</v>
      </c>
      <c r="K21" s="147">
        <f t="shared" ca="1" si="5"/>
        <v>0</v>
      </c>
      <c r="L21" s="424">
        <f t="shared" ca="1" si="6"/>
        <v>0</v>
      </c>
      <c r="M21" s="425">
        <f ca="1">IF($A21="S",VTOTALBM,IF($A21=0,0,ROUND(SomaAgrupBM,15-13*ORÇAMENTO!$AF$11)))</f>
        <v>0</v>
      </c>
      <c r="N21" s="426">
        <f t="shared" ca="1" si="7"/>
        <v>0</v>
      </c>
      <c r="O21" s="150">
        <f ca="1">IF($A21="S",VTOTALBM,IF($A21=0,0,ROUND(SomaAgrupBM,15-13*ORÇAMENTO!$AF$11)))</f>
        <v>0</v>
      </c>
      <c r="Q21" s="427"/>
      <c r="R21" s="428"/>
      <c r="T21" s="142" t="str">
        <f t="shared" ca="1" si="8"/>
        <v/>
      </c>
      <c r="U21" s="202" t="str">
        <f t="shared" ca="1" si="9"/>
        <v/>
      </c>
      <c r="V21" s="203" t="str">
        <f t="shared" ca="1" si="10"/>
        <v/>
      </c>
      <c r="W21" s="630">
        <f ca="1">IF($Y21&gt;0,CHOOSE(MATCH(RegimeExecucao,{"Unitário","Global"},0),IF($A21="S",$Y21/$X21,""),($Y21/$X21)*100),0)</f>
        <v>0</v>
      </c>
      <c r="X21" s="429" t="str">
        <f ca="1">IF($Y21&gt;0,CHOOSE(MATCH(RegimeExecucao,{"Unitário","Global"},0),IF($A21="S",ROUND($H21,ORÇAMENTO!$AF$10),""),ROUND($I21,ORÇAMENTO!$AF$11)),"")</f>
        <v/>
      </c>
      <c r="Y21" s="429">
        <f t="shared" ca="1" si="11"/>
        <v>0</v>
      </c>
      <c r="Z21" s="430"/>
      <c r="AB21" s="427"/>
      <c r="AC21" s="595"/>
      <c r="AD21" s="595"/>
      <c r="AE21" s="595"/>
      <c r="AF21" s="595"/>
      <c r="AG21" s="595"/>
      <c r="AH21" s="595"/>
      <c r="AI21" s="595"/>
      <c r="AJ21" s="595"/>
      <c r="AK21" s="595"/>
      <c r="AL21" s="595"/>
      <c r="AM21" s="428"/>
      <c r="AO21">
        <f ca="1">IF($A21="S",IF(BM!$I21=0,0,CHOOSE(MATCH(RegimeExecucao,{"Global","Unitário"},0),ROUND(ROUND(BM.MEDAcumulado,15-13*BM!$A$9)/100*BM!$I21,15-13*ORÇAMENTO!$AF$11),ROUND(ROUND(BM.MEDAcumulado,15-13*BM!$A$9)*ROUND(BM!$H21,15-13*ORÇAMENTO!$AF$10),15-13*ORÇAMENTO!$AF$11))),IF($A21=0,0,ROUND(SomaAgrupBM,15-13*ORÇAMENTO!$AF$11)))</f>
        <v>0</v>
      </c>
    </row>
    <row r="22" spans="1:41" x14ac:dyDescent="0.2">
      <c r="A22">
        <f ca="1">ORÇAMENTO!C22</f>
        <v>2</v>
      </c>
      <c r="B22">
        <f ca="1">ORÇAMENTO!D22</f>
        <v>3</v>
      </c>
      <c r="C22" s="139" t="str">
        <f ca="1">IF(OR($I22&gt;0,$A22=1,$A22=2,$A22=3,$A22=4),"F","")</f>
        <v>F</v>
      </c>
      <c r="D22" s="142" t="str">
        <f ca="1">ORÇAMENTO!O22</f>
        <v>1.3.</v>
      </c>
      <c r="E22" s="202" t="str">
        <f>ORÇAMENTO.Descricao</f>
        <v>PAVIMENTAÇÃO DE VIAS</v>
      </c>
      <c r="F22" s="203" t="str">
        <f ca="1">IF(RegimeExecucao="Global","",ORÇAMENTO.Unidade)</f>
        <v/>
      </c>
      <c r="G22" s="147" t="str">
        <f ca="1">IF(RegimeExecucao="Global","",ORÇAMENTO!T22)</f>
        <v/>
      </c>
      <c r="H22" s="147" t="str">
        <f ca="1">IF(RegimeExecucao="Global","",ORÇAMENTO!W22)</f>
        <v/>
      </c>
      <c r="I22" s="150">
        <f ca="1">ORÇAMENTO!X22</f>
        <v>336383.73</v>
      </c>
      <c r="J22" s="423">
        <f ca="1">IF($A22="S",IF(CAIXA.Modo,BM.AFAnterior,BM.MEDAnterior),IF(AND(RegimeExecucao="Global",$I22&gt;0,COUNTIF($AB$13:$AM$13,BM.medicao-1)&gt;0),M22/$I22*100,0))</f>
        <v>0</v>
      </c>
      <c r="K22" s="147">
        <f ca="1">L22-J22</f>
        <v>0</v>
      </c>
      <c r="L22" s="424">
        <f ca="1">IF($A22="S",IF(CAIXA.Modo,BM.AFAcumulado,BM.MEDAcumulado),IF(AND(RegimeExecucao="Global",$I22&gt;0,COUNTIF($AB$13:$AM$13,BM.medicao)&gt;0),O22/$I22*100,0))</f>
        <v>0</v>
      </c>
      <c r="M22" s="425">
        <f ca="1">IF($A22="S",VTOTALBM,IF($A22=0,0,ROUND(SomaAgrupBM,15-13*ORÇAMENTO!$AF$11)))</f>
        <v>0</v>
      </c>
      <c r="N22" s="426">
        <f ca="1">O22-M22</f>
        <v>0</v>
      </c>
      <c r="O22" s="150">
        <f ca="1">IF($A22="S",VTOTALBM,IF($A22=0,0,ROUND(SomaAgrupBM,15-13*ORÇAMENTO!$AF$11)))</f>
        <v>0</v>
      </c>
      <c r="Q22" s="427"/>
      <c r="R22" s="428"/>
      <c r="T22" s="142" t="str">
        <f ca="1">IF($W22&gt;0,$D22,"")</f>
        <v/>
      </c>
      <c r="U22" s="202" t="str">
        <f ca="1">IF($W22&gt;0,$E22,"")</f>
        <v/>
      </c>
      <c r="V22" s="203" t="str">
        <f ca="1">IF(AND($W22&gt;0,RegimeExecucao="Unitário"),$F22,"")</f>
        <v/>
      </c>
      <c r="W22" s="630">
        <f ca="1">IF($Y22&gt;0,CHOOSE(MATCH(RegimeExecucao,{"Unitário","Global"},0),IF($A22="S",$Y22/$X22,""),($Y22/$X22)*100),0)</f>
        <v>0</v>
      </c>
      <c r="X22" s="429" t="str">
        <f ca="1">IF($Y22&gt;0,CHOOSE(MATCH(RegimeExecucao,{"Unitário","Global"},0),IF($A22="S",ROUND($H22,ORÇAMENTO!$AF$10),""),ROUND($I22,ORÇAMENTO!$AF$11)),"")</f>
        <v/>
      </c>
      <c r="Y22" s="429">
        <f ca="1">AO22-O22</f>
        <v>0</v>
      </c>
      <c r="Z22" s="430"/>
      <c r="AB22" s="427"/>
      <c r="AC22" s="595"/>
      <c r="AD22" s="595"/>
      <c r="AE22" s="595"/>
      <c r="AF22" s="595"/>
      <c r="AG22" s="595"/>
      <c r="AH22" s="595"/>
      <c r="AI22" s="595"/>
      <c r="AJ22" s="595"/>
      <c r="AK22" s="595"/>
      <c r="AL22" s="595"/>
      <c r="AM22" s="428"/>
      <c r="AO22">
        <f ca="1">IF($A22="S",IF(BM!$I22=0,0,CHOOSE(MATCH(RegimeExecucao,{"Global","Unitário"},0),ROUND(ROUND(BM.MEDAcumulado,15-13*BM!$A$9)/100*BM!$I22,15-13*ORÇAMENTO!$AF$11),ROUND(ROUND(BM.MEDAcumulado,15-13*BM!$A$9)*ROUND(BM!$H22,15-13*ORÇAMENTO!$AF$10),15-13*ORÇAMENTO!$AF$11))),IF($A22=0,0,ROUND(SomaAgrupBM,15-13*ORÇAMENTO!$AF$11)))</f>
        <v>0</v>
      </c>
    </row>
    <row r="23" spans="1:41" ht="25.5" x14ac:dyDescent="0.2">
      <c r="A23" t="str">
        <f ca="1">ORÇAMENTO!C23</f>
        <v>S</v>
      </c>
      <c r="B23">
        <f ca="1">ORÇAMENTO!D23</f>
        <v>0</v>
      </c>
      <c r="C23" s="139" t="str">
        <f ca="1">IF(OR($I23&gt;0,$A23=1,$A23=2,$A23=3,$A23=4),"F","")</f>
        <v>F</v>
      </c>
      <c r="D23" s="142" t="str">
        <f ca="1">ORÇAMENTO!O23</f>
        <v>1.3.1.</v>
      </c>
      <c r="E23" s="202" t="str">
        <f ca="1">ORÇAMENTO.Descricao</f>
        <v>(abra o arquivo 'Referência 11-2023.xls)</v>
      </c>
      <c r="F23" s="203" t="str">
        <f ca="1">IF(RegimeExecucao="Global","",ORÇAMENTO.Unidade)</f>
        <v/>
      </c>
      <c r="G23" s="147" t="str">
        <f ca="1">IF(RegimeExecucao="Global","",ORÇAMENTO!T23)</f>
        <v/>
      </c>
      <c r="H23" s="147" t="str">
        <f ca="1">IF(RegimeExecucao="Global","",ORÇAMENTO!W23)</f>
        <v/>
      </c>
      <c r="I23" s="150">
        <f ca="1">ORÇAMENTO!X23</f>
        <v>332092.52</v>
      </c>
      <c r="J23" s="423">
        <f ca="1">IF($A23="S",IF(CAIXA.Modo,BM.AFAnterior,BM.MEDAnterior),IF(AND(RegimeExecucao="Global",$I23&gt;0,COUNTIF($AB$13:$AM$13,BM.medicao-1)&gt;0),M23/$I23*100,0))</f>
        <v>0</v>
      </c>
      <c r="K23" s="147">
        <f ca="1">L23-J23</f>
        <v>0</v>
      </c>
      <c r="L23" s="424">
        <f ca="1">IF($A23="S",IF(CAIXA.Modo,BM.AFAcumulado,BM.MEDAcumulado),IF(AND(RegimeExecucao="Global",$I23&gt;0,COUNTIF($AB$13:$AM$13,BM.medicao)&gt;0),O23/$I23*100,0))</f>
        <v>0</v>
      </c>
      <c r="M23" s="425">
        <f ca="1">IF($A23="S",VTOTALBM,IF($A23=0,0,ROUND(SomaAgrupBM,15-13*ORÇAMENTO!$AF$11)))</f>
        <v>0</v>
      </c>
      <c r="N23" s="426">
        <f ca="1">O23-M23</f>
        <v>0</v>
      </c>
      <c r="O23" s="150">
        <f ca="1">IF($A23="S",VTOTALBM,IF($A23=0,0,ROUND(SomaAgrupBM,15-13*ORÇAMENTO!$AF$11)))</f>
        <v>0</v>
      </c>
      <c r="Q23" s="427"/>
      <c r="R23" s="428"/>
      <c r="T23" s="142" t="str">
        <f ca="1">IF($W23&gt;0,$D23,"")</f>
        <v/>
      </c>
      <c r="U23" s="202" t="str">
        <f ca="1">IF($W23&gt;0,$E23,"")</f>
        <v/>
      </c>
      <c r="V23" s="203" t="str">
        <f ca="1">IF(AND($W23&gt;0,RegimeExecucao="Unitário"),$F23,"")</f>
        <v/>
      </c>
      <c r="W23" s="630">
        <f ca="1">IF($Y23&gt;0,CHOOSE(MATCH(RegimeExecucao,{"Unitário","Global"},0),IF($A23="S",$Y23/$X23,""),($Y23/$X23)*100),0)</f>
        <v>0</v>
      </c>
      <c r="X23" s="429" t="str">
        <f ca="1">IF($Y23&gt;0,CHOOSE(MATCH(RegimeExecucao,{"Unitário","Global"},0),IF($A23="S",ROUND($H23,ORÇAMENTO!$AF$10),""),ROUND($I23,ORÇAMENTO!$AF$11)),"")</f>
        <v/>
      </c>
      <c r="Y23" s="429">
        <f ca="1">AO23-O23</f>
        <v>0</v>
      </c>
      <c r="Z23" s="430"/>
      <c r="AB23" s="427"/>
      <c r="AC23" s="595"/>
      <c r="AD23" s="595"/>
      <c r="AE23" s="595"/>
      <c r="AF23" s="595"/>
      <c r="AG23" s="595"/>
      <c r="AH23" s="595"/>
      <c r="AI23" s="595"/>
      <c r="AJ23" s="595"/>
      <c r="AK23" s="595"/>
      <c r="AL23" s="595"/>
      <c r="AM23" s="428"/>
      <c r="AO23">
        <f ca="1">IF($A23="S",IF(BM!$I23=0,0,CHOOSE(MATCH(RegimeExecucao,{"Global","Unitário"},0),ROUND(ROUND(BM.MEDAcumulado,15-13*BM!$A$9)/100*BM!$I23,15-13*ORÇAMENTO!$AF$11),ROUND(ROUND(BM.MEDAcumulado,15-13*BM!$A$9)*ROUND(BM!$H23,15-13*ORÇAMENTO!$AF$10),15-13*ORÇAMENTO!$AF$11))),IF($A23=0,0,ROUND(SomaAgrupBM,15-13*ORÇAMENTO!$AF$11)))</f>
        <v>0</v>
      </c>
    </row>
    <row r="24" spans="1:41" ht="25.5" x14ac:dyDescent="0.2">
      <c r="A24" t="str">
        <f ca="1">ORÇAMENTO!C24</f>
        <v>S</v>
      </c>
      <c r="B24">
        <f ca="1">ORÇAMENTO!D24</f>
        <v>0</v>
      </c>
      <c r="C24" s="139" t="str">
        <f t="shared" ca="1" si="1"/>
        <v>F</v>
      </c>
      <c r="D24" s="142" t="str">
        <f ca="1">ORÇAMENTO!O24</f>
        <v>1.3.2.</v>
      </c>
      <c r="E24" s="202" t="str">
        <f t="shared" si="2"/>
        <v>Transporte com caminhão basculante de 10 m³ - rodovia em leito natural</v>
      </c>
      <c r="F24" s="203" t="str">
        <f t="shared" ca="1" si="3"/>
        <v/>
      </c>
      <c r="G24" s="147" t="str">
        <f ca="1">IF(RegimeExecucao="Global","",ORÇAMENTO!T24)</f>
        <v/>
      </c>
      <c r="H24" s="147" t="str">
        <f ca="1">IF(RegimeExecucao="Global","",ORÇAMENTO!W24)</f>
        <v/>
      </c>
      <c r="I24" s="150">
        <f ca="1">ORÇAMENTO!X24</f>
        <v>4291.20999999998</v>
      </c>
      <c r="J24" s="423">
        <f t="shared" ca="1" si="4"/>
        <v>0</v>
      </c>
      <c r="K24" s="147">
        <f t="shared" ca="1" si="5"/>
        <v>0</v>
      </c>
      <c r="L24" s="424">
        <f t="shared" ca="1" si="6"/>
        <v>0</v>
      </c>
      <c r="M24" s="425">
        <f ca="1">IF($A24="S",VTOTALBM,IF($A24=0,0,ROUND(SomaAgrupBM,15-13*ORÇAMENTO!$AF$11)))</f>
        <v>0</v>
      </c>
      <c r="N24" s="426">
        <f t="shared" ca="1" si="7"/>
        <v>0</v>
      </c>
      <c r="O24" s="150">
        <f ca="1">IF($A24="S",VTOTALBM,IF($A24=0,0,ROUND(SomaAgrupBM,15-13*ORÇAMENTO!$AF$11)))</f>
        <v>0</v>
      </c>
      <c r="Q24" s="427"/>
      <c r="R24" s="428"/>
      <c r="T24" s="142" t="str">
        <f t="shared" ca="1" si="8"/>
        <v/>
      </c>
      <c r="U24" s="202" t="str">
        <f t="shared" ca="1" si="9"/>
        <v/>
      </c>
      <c r="V24" s="203" t="str">
        <f t="shared" ca="1" si="10"/>
        <v/>
      </c>
      <c r="W24" s="630">
        <f ca="1">IF($Y24&gt;0,CHOOSE(MATCH(RegimeExecucao,{"Unitário","Global"},0),IF($A24="S",$Y24/$X24,""),($Y24/$X24)*100),0)</f>
        <v>0</v>
      </c>
      <c r="X24" s="429" t="str">
        <f ca="1">IF($Y24&gt;0,CHOOSE(MATCH(RegimeExecucao,{"Unitário","Global"},0),IF($A24="S",ROUND($H24,ORÇAMENTO!$AF$10),""),ROUND($I24,ORÇAMENTO!$AF$11)),"")</f>
        <v/>
      </c>
      <c r="Y24" s="429">
        <f t="shared" ca="1" si="11"/>
        <v>0</v>
      </c>
      <c r="Z24" s="430"/>
      <c r="AB24" s="427"/>
      <c r="AC24" s="595"/>
      <c r="AD24" s="595"/>
      <c r="AE24" s="595"/>
      <c r="AF24" s="595"/>
      <c r="AG24" s="595"/>
      <c r="AH24" s="595"/>
      <c r="AI24" s="595"/>
      <c r="AJ24" s="595"/>
      <c r="AK24" s="595"/>
      <c r="AL24" s="595"/>
      <c r="AM24" s="428"/>
      <c r="AO24">
        <f ca="1">IF($A24="S",IF(BM!$I24=0,0,CHOOSE(MATCH(RegimeExecucao,{"Global","Unitário"},0),ROUND(ROUND(BM.MEDAcumulado,15-13*BM!$A$9)/100*BM!$I24,15-13*ORÇAMENTO!$AF$11),ROUND(ROUND(BM.MEDAcumulado,15-13*BM!$A$9)*ROUND(BM!$H24,15-13*ORÇAMENTO!$AF$10),15-13*ORÇAMENTO!$AF$11))),IF($A24=0,0,ROUND(SomaAgrupBM,15-13*ORÇAMENTO!$AF$11)))</f>
        <v>0</v>
      </c>
    </row>
    <row r="25" spans="1:41" x14ac:dyDescent="0.2">
      <c r="A25">
        <f ca="1">ORÇAMENTO!C25</f>
        <v>2</v>
      </c>
      <c r="B25">
        <f ca="1">ORÇAMENTO!D25</f>
        <v>3</v>
      </c>
      <c r="C25" s="139" t="str">
        <f ca="1">IF(OR($I25&gt;0,$A25=1,$A25=2,$A25=3,$A25=4),"F","")</f>
        <v>F</v>
      </c>
      <c r="D25" s="142" t="str">
        <f ca="1">ORÇAMENTO!O25</f>
        <v>1.4.</v>
      </c>
      <c r="E25" s="202" t="str">
        <f>ORÇAMENTO.Descricao</f>
        <v>DRENAGEM SUPERFICIAL</v>
      </c>
      <c r="F25" s="203" t="str">
        <f ca="1">IF(RegimeExecucao="Global","",ORÇAMENTO.Unidade)</f>
        <v/>
      </c>
      <c r="G25" s="147" t="str">
        <f ca="1">IF(RegimeExecucao="Global","",ORÇAMENTO!T25)</f>
        <v/>
      </c>
      <c r="H25" s="147" t="str">
        <f ca="1">IF(RegimeExecucao="Global","",ORÇAMENTO!W25)</f>
        <v/>
      </c>
      <c r="I25" s="150">
        <f ca="1">ORÇAMENTO!X25</f>
        <v>140497.71</v>
      </c>
      <c r="J25" s="423">
        <f ca="1">IF($A25="S",IF(CAIXA.Modo,BM.AFAnterior,BM.MEDAnterior),IF(AND(RegimeExecucao="Global",$I25&gt;0,COUNTIF($AB$13:$AM$13,BM.medicao-1)&gt;0),M25/$I25*100,0))</f>
        <v>0</v>
      </c>
      <c r="K25" s="147">
        <f ca="1">L25-J25</f>
        <v>0</v>
      </c>
      <c r="L25" s="424">
        <f ca="1">IF($A25="S",IF(CAIXA.Modo,BM.AFAcumulado,BM.MEDAcumulado),IF(AND(RegimeExecucao="Global",$I25&gt;0,COUNTIF($AB$13:$AM$13,BM.medicao)&gt;0),O25/$I25*100,0))</f>
        <v>0</v>
      </c>
      <c r="M25" s="425">
        <f ca="1">IF($A25="S",VTOTALBM,IF($A25=0,0,ROUND(SomaAgrupBM,15-13*ORÇAMENTO!$AF$11)))</f>
        <v>0</v>
      </c>
      <c r="N25" s="426">
        <f ca="1">O25-M25</f>
        <v>0</v>
      </c>
      <c r="O25" s="150">
        <f ca="1">IF($A25="S",VTOTALBM,IF($A25=0,0,ROUND(SomaAgrupBM,15-13*ORÇAMENTO!$AF$11)))</f>
        <v>0</v>
      </c>
      <c r="Q25" s="427"/>
      <c r="R25" s="428"/>
      <c r="T25" s="142" t="str">
        <f ca="1">IF($W25&gt;0,$D25,"")</f>
        <v/>
      </c>
      <c r="U25" s="202" t="str">
        <f ca="1">IF($W25&gt;0,$E25,"")</f>
        <v/>
      </c>
      <c r="V25" s="203" t="str">
        <f ca="1">IF(AND($W25&gt;0,RegimeExecucao="Unitário"),$F25,"")</f>
        <v/>
      </c>
      <c r="W25" s="630">
        <f ca="1">IF($Y25&gt;0,CHOOSE(MATCH(RegimeExecucao,{"Unitário","Global"},0),IF($A25="S",$Y25/$X25,""),($Y25/$X25)*100),0)</f>
        <v>0</v>
      </c>
      <c r="X25" s="429" t="str">
        <f ca="1">IF($Y25&gt;0,CHOOSE(MATCH(RegimeExecucao,{"Unitário","Global"},0),IF($A25="S",ROUND($H25,ORÇAMENTO!$AF$10),""),ROUND($I25,ORÇAMENTO!$AF$11)),"")</f>
        <v/>
      </c>
      <c r="Y25" s="429">
        <f ca="1">AO25-O25</f>
        <v>0</v>
      </c>
      <c r="Z25" s="430"/>
      <c r="AB25" s="427"/>
      <c r="AC25" s="595"/>
      <c r="AD25" s="595"/>
      <c r="AE25" s="595"/>
      <c r="AF25" s="595"/>
      <c r="AG25" s="595"/>
      <c r="AH25" s="595"/>
      <c r="AI25" s="595"/>
      <c r="AJ25" s="595"/>
      <c r="AK25" s="595"/>
      <c r="AL25" s="595"/>
      <c r="AM25" s="428"/>
      <c r="AO25">
        <f ca="1">IF($A25="S",IF(BM!$I25=0,0,CHOOSE(MATCH(RegimeExecucao,{"Global","Unitário"},0),ROUND(ROUND(BM.MEDAcumulado,15-13*BM!$A$9)/100*BM!$I25,15-13*ORÇAMENTO!$AF$11),ROUND(ROUND(BM.MEDAcumulado,15-13*BM!$A$9)*ROUND(BM!$H25,15-13*ORÇAMENTO!$AF$10),15-13*ORÇAMENTO!$AF$11))),IF($A25=0,0,ROUND(SomaAgrupBM,15-13*ORÇAMENTO!$AF$11)))</f>
        <v>0</v>
      </c>
    </row>
    <row r="26" spans="1:41" ht="25.5" x14ac:dyDescent="0.2">
      <c r="A26" t="str">
        <f ca="1">ORÇAMENTO!C26</f>
        <v>S</v>
      </c>
      <c r="B26">
        <f ca="1">ORÇAMENTO!D26</f>
        <v>0</v>
      </c>
      <c r="C26" s="139" t="str">
        <f t="shared" ca="1" si="1"/>
        <v>F</v>
      </c>
      <c r="D26" s="142" t="str">
        <f ca="1">ORÇAMENTO!O26</f>
        <v>1.4.1.</v>
      </c>
      <c r="E26" s="202" t="str">
        <f t="shared" ca="1" si="2"/>
        <v>(abra o arquivo 'Referência 11-2023.xls)</v>
      </c>
      <c r="F26" s="203" t="str">
        <f t="shared" ca="1" si="3"/>
        <v/>
      </c>
      <c r="G26" s="147" t="str">
        <f ca="1">IF(RegimeExecucao="Global","",ORÇAMENTO!T26)</f>
        <v/>
      </c>
      <c r="H26" s="147" t="str">
        <f ca="1">IF(RegimeExecucao="Global","",ORÇAMENTO!W26)</f>
        <v/>
      </c>
      <c r="I26" s="150">
        <f ca="1">ORÇAMENTO!X26</f>
        <v>50123.1</v>
      </c>
      <c r="J26" s="423">
        <f t="shared" ca="1" si="4"/>
        <v>0</v>
      </c>
      <c r="K26" s="147">
        <f t="shared" ca="1" si="5"/>
        <v>0</v>
      </c>
      <c r="L26" s="424">
        <f t="shared" ca="1" si="6"/>
        <v>0</v>
      </c>
      <c r="M26" s="425">
        <f ca="1">IF($A26="S",VTOTALBM,IF($A26=0,0,ROUND(SomaAgrupBM,15-13*ORÇAMENTO!$AF$11)))</f>
        <v>0</v>
      </c>
      <c r="N26" s="426">
        <f t="shared" ca="1" si="7"/>
        <v>0</v>
      </c>
      <c r="O26" s="150">
        <f ca="1">IF($A26="S",VTOTALBM,IF($A26=0,0,ROUND(SomaAgrupBM,15-13*ORÇAMENTO!$AF$11)))</f>
        <v>0</v>
      </c>
      <c r="Q26" s="427"/>
      <c r="R26" s="428"/>
      <c r="T26" s="142" t="str">
        <f t="shared" ca="1" si="8"/>
        <v/>
      </c>
      <c r="U26" s="202" t="str">
        <f t="shared" ca="1" si="9"/>
        <v/>
      </c>
      <c r="V26" s="203" t="str">
        <f t="shared" ca="1" si="10"/>
        <v/>
      </c>
      <c r="W26" s="630">
        <f ca="1">IF($Y26&gt;0,CHOOSE(MATCH(RegimeExecucao,{"Unitário","Global"},0),IF($A26="S",$Y26/$X26,""),($Y26/$X26)*100),0)</f>
        <v>0</v>
      </c>
      <c r="X26" s="429" t="str">
        <f ca="1">IF($Y26&gt;0,CHOOSE(MATCH(RegimeExecucao,{"Unitário","Global"},0),IF($A26="S",ROUND($H26,ORÇAMENTO!$AF$10),""),ROUND($I26,ORÇAMENTO!$AF$11)),"")</f>
        <v/>
      </c>
      <c r="Y26" s="429">
        <f t="shared" ca="1" si="11"/>
        <v>0</v>
      </c>
      <c r="Z26" s="430"/>
      <c r="AB26" s="427"/>
      <c r="AC26" s="595"/>
      <c r="AD26" s="595"/>
      <c r="AE26" s="595"/>
      <c r="AF26" s="595"/>
      <c r="AG26" s="595"/>
      <c r="AH26" s="595"/>
      <c r="AI26" s="595"/>
      <c r="AJ26" s="595"/>
      <c r="AK26" s="595"/>
      <c r="AL26" s="595"/>
      <c r="AM26" s="428"/>
      <c r="AO26">
        <f ca="1">IF($A26="S",IF(BM!$I26=0,0,CHOOSE(MATCH(RegimeExecucao,{"Global","Unitário"},0),ROUND(ROUND(BM.MEDAcumulado,15-13*BM!$A$9)/100*BM!$I26,15-13*ORÇAMENTO!$AF$11),ROUND(ROUND(BM.MEDAcumulado,15-13*BM!$A$9)*ROUND(BM!$H26,15-13*ORÇAMENTO!$AF$10),15-13*ORÇAMENTO!$AF$11))),IF($A26=0,0,ROUND(SomaAgrupBM,15-13*ORÇAMENTO!$AF$11)))</f>
        <v>0</v>
      </c>
    </row>
    <row r="27" spans="1:41" ht="63.75" x14ac:dyDescent="0.2">
      <c r="A27" t="str">
        <f ca="1">ORÇAMENTO!C27</f>
        <v>S</v>
      </c>
      <c r="B27">
        <f ca="1">ORÇAMENTO!D27</f>
        <v>0</v>
      </c>
      <c r="C27" s="139" t="str">
        <f t="shared" ref="C27:C32" ca="1" si="12">IF(OR($I27&gt;0,$A27=1,$A27=2,$A27=3,$A27=4),"F","")</f>
        <v>F</v>
      </c>
      <c r="D27" s="142" t="str">
        <f ca="1">ORÇAMENTO!O27</f>
        <v>1.4.2.</v>
      </c>
      <c r="E27" s="202" t="str">
        <f t="shared" ref="E27:E32" ca="1" si="13">ORÇAMENTO.Descricao</f>
        <v>(abra o arquivo 'Referência 11-2023.xls)</v>
      </c>
      <c r="F27" s="203" t="str">
        <f t="shared" ref="F27:F32" ca="1" si="14">IF(RegimeExecucao="Global","",ORÇAMENTO.Unidade)</f>
        <v/>
      </c>
      <c r="G27" s="147" t="str">
        <f ca="1">IF(RegimeExecucao="Global","",ORÇAMENTO!T27)</f>
        <v/>
      </c>
      <c r="H27" s="147" t="str">
        <f ca="1">IF(RegimeExecucao="Global","",ORÇAMENTO!W27)</f>
        <v/>
      </c>
      <c r="I27" s="150">
        <f ca="1">ORÇAMENTO!X27</f>
        <v>90374.61</v>
      </c>
      <c r="J27" s="423">
        <f t="shared" ref="J27:J32" ca="1" si="15">IF($A27="S",IF(CAIXA.Modo,BM.AFAnterior,BM.MEDAnterior),IF(AND(RegimeExecucao="Global",$I27&gt;0,COUNTIF($AB$13:$AM$13,BM.medicao-1)&gt;0),M27/$I27*100,0))</f>
        <v>0</v>
      </c>
      <c r="K27" s="147">
        <f t="shared" ref="K27:K32" ca="1" si="16">L27-J27</f>
        <v>0</v>
      </c>
      <c r="L27" s="424">
        <f t="shared" ref="L27:L32" ca="1" si="17">IF($A27="S",IF(CAIXA.Modo,BM.AFAcumulado,BM.MEDAcumulado),IF(AND(RegimeExecucao="Global",$I27&gt;0,COUNTIF($AB$13:$AM$13,BM.medicao)&gt;0),O27/$I27*100,0))</f>
        <v>0</v>
      </c>
      <c r="M27" s="425">
        <f ca="1">IF($A27="S",VTOTALBM,IF($A27=0,0,ROUND(SomaAgrupBM,15-13*ORÇAMENTO!$AF$11)))</f>
        <v>0</v>
      </c>
      <c r="N27" s="426">
        <f t="shared" ref="N27:N32" ca="1" si="18">O27-M27</f>
        <v>0</v>
      </c>
      <c r="O27" s="150">
        <f ca="1">IF($A27="S",VTOTALBM,IF($A27=0,0,ROUND(SomaAgrupBM,15-13*ORÇAMENTO!$AF$11)))</f>
        <v>0</v>
      </c>
      <c r="Q27" s="427"/>
      <c r="R27" s="428"/>
      <c r="T27" s="142" t="str">
        <f t="shared" ref="T27:T32" ca="1" si="19">IF($W27&gt;0,$D27,"")</f>
        <v/>
      </c>
      <c r="U27" s="202" t="str">
        <f t="shared" ref="U27:U32" ca="1" si="20">IF($W27&gt;0,$E27,"")</f>
        <v/>
      </c>
      <c r="V27" s="203" t="str">
        <f t="shared" ref="V27:V32" ca="1" si="21">IF(AND($W27&gt;0,RegimeExecucao="Unitário"),$F27,"")</f>
        <v/>
      </c>
      <c r="W27" s="630">
        <f ca="1">IF($Y27&gt;0,CHOOSE(MATCH(RegimeExecucao,{"Unitário","Global"},0),IF($A27="S",$Y27/$X27,""),($Y27/$X27)*100),0)</f>
        <v>0</v>
      </c>
      <c r="X27" s="429" t="str">
        <f ca="1">IF($Y27&gt;0,CHOOSE(MATCH(RegimeExecucao,{"Unitário","Global"},0),IF($A27="S",ROUND($H27,ORÇAMENTO!$AF$10),""),ROUND($I27,ORÇAMENTO!$AF$11)),"")</f>
        <v/>
      </c>
      <c r="Y27" s="429">
        <f t="shared" ref="Y27:Y32" ca="1" si="22">AO27-O27</f>
        <v>0</v>
      </c>
      <c r="Z27" s="430"/>
      <c r="AB27" s="427"/>
      <c r="AC27" s="595"/>
      <c r="AD27" s="595"/>
      <c r="AE27" s="595"/>
      <c r="AF27" s="595"/>
      <c r="AG27" s="595"/>
      <c r="AH27" s="595"/>
      <c r="AI27" s="595"/>
      <c r="AJ27" s="595"/>
      <c r="AK27" s="595"/>
      <c r="AL27" s="595"/>
      <c r="AM27" s="428"/>
      <c r="AO27">
        <f ca="1">IF($A27="S",IF(BM!$I27=0,0,CHOOSE(MATCH(RegimeExecucao,{"Global","Unitário"},0),ROUND(ROUND(BM.MEDAcumulado,15-13*BM!$A$9)/100*BM!$I27,15-13*ORÇAMENTO!$AF$11),ROUND(ROUND(BM.MEDAcumulado,15-13*BM!$A$9)*ROUND(BM!$H27,15-13*ORÇAMENTO!$AF$10),15-13*ORÇAMENTO!$AF$11))),IF($A27=0,0,ROUND(SomaAgrupBM,15-13*ORÇAMENTO!$AF$11)))</f>
        <v>0</v>
      </c>
    </row>
    <row r="28" spans="1:41" x14ac:dyDescent="0.2">
      <c r="A28">
        <f ca="1">ORÇAMENTO!C28</f>
        <v>2</v>
      </c>
      <c r="B28">
        <f ca="1">ORÇAMENTO!D28</f>
        <v>5</v>
      </c>
      <c r="C28" s="139" t="str">
        <f t="shared" ca="1" si="12"/>
        <v>F</v>
      </c>
      <c r="D28" s="142" t="str">
        <f ca="1">ORÇAMENTO!O28</f>
        <v>1.5.</v>
      </c>
      <c r="E28" s="202" t="str">
        <f t="shared" si="13"/>
        <v>SINALIZAÇÃO VIÁRIA</v>
      </c>
      <c r="F28" s="203" t="str">
        <f t="shared" ca="1" si="14"/>
        <v/>
      </c>
      <c r="G28" s="147" t="str">
        <f ca="1">IF(RegimeExecucao="Global","",ORÇAMENTO!T28)</f>
        <v/>
      </c>
      <c r="H28" s="147" t="str">
        <f ca="1">IF(RegimeExecucao="Global","",ORÇAMENTO!W28)</f>
        <v/>
      </c>
      <c r="I28" s="150">
        <f ca="1">ORÇAMENTO!X28</f>
        <v>5863.08</v>
      </c>
      <c r="J28" s="423">
        <f t="shared" ca="1" si="15"/>
        <v>0</v>
      </c>
      <c r="K28" s="147">
        <f t="shared" ca="1" si="16"/>
        <v>0</v>
      </c>
      <c r="L28" s="424">
        <f t="shared" ca="1" si="17"/>
        <v>0</v>
      </c>
      <c r="M28" s="425">
        <f ca="1">IF($A28="S",VTOTALBM,IF($A28=0,0,ROUND(SomaAgrupBM,15-13*ORÇAMENTO!$AF$11)))</f>
        <v>0</v>
      </c>
      <c r="N28" s="426">
        <f t="shared" ca="1" si="18"/>
        <v>0</v>
      </c>
      <c r="O28" s="150">
        <f ca="1">IF($A28="S",VTOTALBM,IF($A28=0,0,ROUND(SomaAgrupBM,15-13*ORÇAMENTO!$AF$11)))</f>
        <v>0</v>
      </c>
      <c r="Q28" s="427"/>
      <c r="R28" s="428"/>
      <c r="T28" s="142" t="str">
        <f t="shared" ca="1" si="19"/>
        <v/>
      </c>
      <c r="U28" s="202" t="str">
        <f t="shared" ca="1" si="20"/>
        <v/>
      </c>
      <c r="V28" s="203" t="str">
        <f t="shared" ca="1" si="21"/>
        <v/>
      </c>
      <c r="W28" s="630">
        <f ca="1">IF($Y28&gt;0,CHOOSE(MATCH(RegimeExecucao,{"Unitário","Global"},0),IF($A28="S",$Y28/$X28,""),($Y28/$X28)*100),0)</f>
        <v>0</v>
      </c>
      <c r="X28" s="429" t="str">
        <f ca="1">IF($Y28&gt;0,CHOOSE(MATCH(RegimeExecucao,{"Unitário","Global"},0),IF($A28="S",ROUND($H28,ORÇAMENTO!$AF$10),""),ROUND($I28,ORÇAMENTO!$AF$11)),"")</f>
        <v/>
      </c>
      <c r="Y28" s="429">
        <f t="shared" ca="1" si="22"/>
        <v>0</v>
      </c>
      <c r="Z28" s="430"/>
      <c r="AB28" s="427"/>
      <c r="AC28" s="595"/>
      <c r="AD28" s="595"/>
      <c r="AE28" s="595"/>
      <c r="AF28" s="595"/>
      <c r="AG28" s="595"/>
      <c r="AH28" s="595"/>
      <c r="AI28" s="595"/>
      <c r="AJ28" s="595"/>
      <c r="AK28" s="595"/>
      <c r="AL28" s="595"/>
      <c r="AM28" s="428"/>
      <c r="AO28">
        <f ca="1">IF($A28="S",IF(BM!$I28=0,0,CHOOSE(MATCH(RegimeExecucao,{"Global","Unitário"},0),ROUND(ROUND(BM.MEDAcumulado,15-13*BM!$A$9)/100*BM!$I28,15-13*ORÇAMENTO!$AF$11),ROUND(ROUND(BM.MEDAcumulado,15-13*BM!$A$9)*ROUND(BM!$H28,15-13*ORÇAMENTO!$AF$10),15-13*ORÇAMENTO!$AF$11))),IF($A28=0,0,ROUND(SomaAgrupBM,15-13*ORÇAMENTO!$AF$11)))</f>
        <v>0</v>
      </c>
    </row>
    <row r="29" spans="1:41" ht="25.5" x14ac:dyDescent="0.2">
      <c r="A29" t="str">
        <f ca="1">ORÇAMENTO!C29</f>
        <v>S</v>
      </c>
      <c r="B29">
        <f ca="1">ORÇAMENTO!D29</f>
        <v>0</v>
      </c>
      <c r="C29" s="139" t="str">
        <f t="shared" ca="1" si="12"/>
        <v>F</v>
      </c>
      <c r="D29" s="142" t="str">
        <f ca="1">ORÇAMENTO!O29</f>
        <v>1.5.1.</v>
      </c>
      <c r="E29" s="202" t="str">
        <f t="shared" si="13"/>
        <v>Placa de regulamentação em aço, R1 lado 0,331 m - película retrorrefletiva tipo I + SI - fornecimento e implantação</v>
      </c>
      <c r="F29" s="203" t="str">
        <f t="shared" ca="1" si="14"/>
        <v/>
      </c>
      <c r="G29" s="147" t="str">
        <f ca="1">IF(RegimeExecucao="Global","",ORÇAMENTO!T29)</f>
        <v/>
      </c>
      <c r="H29" s="147" t="str">
        <f ca="1">IF(RegimeExecucao="Global","",ORÇAMENTO!W29)</f>
        <v/>
      </c>
      <c r="I29" s="150">
        <f ca="1">ORÇAMENTO!X29</f>
        <v>2068.36</v>
      </c>
      <c r="J29" s="423">
        <f t="shared" ca="1" si="15"/>
        <v>0</v>
      </c>
      <c r="K29" s="147">
        <f t="shared" ca="1" si="16"/>
        <v>0</v>
      </c>
      <c r="L29" s="424">
        <f t="shared" ca="1" si="17"/>
        <v>0</v>
      </c>
      <c r="M29" s="425">
        <f ca="1">IF($A29="S",VTOTALBM,IF($A29=0,0,ROUND(SomaAgrupBM,15-13*ORÇAMENTO!$AF$11)))</f>
        <v>0</v>
      </c>
      <c r="N29" s="426">
        <f t="shared" ca="1" si="18"/>
        <v>0</v>
      </c>
      <c r="O29" s="150">
        <f ca="1">IF($A29="S",VTOTALBM,IF($A29=0,0,ROUND(SomaAgrupBM,15-13*ORÇAMENTO!$AF$11)))</f>
        <v>0</v>
      </c>
      <c r="Q29" s="427"/>
      <c r="R29" s="428"/>
      <c r="T29" s="142" t="str">
        <f t="shared" ca="1" si="19"/>
        <v/>
      </c>
      <c r="U29" s="202" t="str">
        <f t="shared" ca="1" si="20"/>
        <v/>
      </c>
      <c r="V29" s="203" t="str">
        <f t="shared" ca="1" si="21"/>
        <v/>
      </c>
      <c r="W29" s="630">
        <f ca="1">IF($Y29&gt;0,CHOOSE(MATCH(RegimeExecucao,{"Unitário","Global"},0),IF($A29="S",$Y29/$X29,""),($Y29/$X29)*100),0)</f>
        <v>0</v>
      </c>
      <c r="X29" s="429" t="str">
        <f ca="1">IF($Y29&gt;0,CHOOSE(MATCH(RegimeExecucao,{"Unitário","Global"},0),IF($A29="S",ROUND($H29,ORÇAMENTO!$AF$10),""),ROUND($I29,ORÇAMENTO!$AF$11)),"")</f>
        <v/>
      </c>
      <c r="Y29" s="429">
        <f t="shared" ca="1" si="22"/>
        <v>0</v>
      </c>
      <c r="Z29" s="430"/>
      <c r="AB29" s="427"/>
      <c r="AC29" s="595"/>
      <c r="AD29" s="595"/>
      <c r="AE29" s="595"/>
      <c r="AF29" s="595"/>
      <c r="AG29" s="595"/>
      <c r="AH29" s="595"/>
      <c r="AI29" s="595"/>
      <c r="AJ29" s="595"/>
      <c r="AK29" s="595"/>
      <c r="AL29" s="595"/>
      <c r="AM29" s="428"/>
      <c r="AO29">
        <f ca="1">IF($A29="S",IF(BM!$I29=0,0,CHOOSE(MATCH(RegimeExecucao,{"Global","Unitário"},0),ROUND(ROUND(BM.MEDAcumulado,15-13*BM!$A$9)/100*BM!$I29,15-13*ORÇAMENTO!$AF$11),ROUND(ROUND(BM.MEDAcumulado,15-13*BM!$A$9)*ROUND(BM!$H29,15-13*ORÇAMENTO!$AF$10),15-13*ORÇAMENTO!$AF$11))),IF($A29=0,0,ROUND(SomaAgrupBM,15-13*ORÇAMENTO!$AF$11)))</f>
        <v>0</v>
      </c>
    </row>
    <row r="30" spans="1:41" ht="25.5" x14ac:dyDescent="0.2">
      <c r="A30" t="str">
        <f ca="1">ORÇAMENTO!C30</f>
        <v>S</v>
      </c>
      <c r="B30">
        <f ca="1">ORÇAMENTO!D30</f>
        <v>0</v>
      </c>
      <c r="C30" s="139" t="str">
        <f t="shared" ca="1" si="12"/>
        <v>F</v>
      </c>
      <c r="D30" s="142" t="str">
        <f ca="1">ORÇAMENTO!O30</f>
        <v>1.5.2.</v>
      </c>
      <c r="E30" s="202" t="str">
        <f t="shared" si="13"/>
        <v>Suporte metálico galvanizado para placa de regulamentação - R1 - lado de 0,331 m - fornecimento e implantação</v>
      </c>
      <c r="F30" s="203" t="str">
        <f t="shared" ca="1" si="14"/>
        <v/>
      </c>
      <c r="G30" s="147" t="str">
        <f ca="1">IF(RegimeExecucao="Global","",ORÇAMENTO!T30)</f>
        <v/>
      </c>
      <c r="H30" s="147" t="str">
        <f ca="1">IF(RegimeExecucao="Global","",ORÇAMENTO!W30)</f>
        <v/>
      </c>
      <c r="I30" s="150">
        <f ca="1">ORÇAMENTO!X30</f>
        <v>2077.2800000000002</v>
      </c>
      <c r="J30" s="423">
        <f t="shared" ca="1" si="15"/>
        <v>0</v>
      </c>
      <c r="K30" s="147">
        <f t="shared" ca="1" si="16"/>
        <v>0</v>
      </c>
      <c r="L30" s="424">
        <f t="shared" ca="1" si="17"/>
        <v>0</v>
      </c>
      <c r="M30" s="425">
        <f ca="1">IF($A30="S",VTOTALBM,IF($A30=0,0,ROUND(SomaAgrupBM,15-13*ORÇAMENTO!$AF$11)))</f>
        <v>0</v>
      </c>
      <c r="N30" s="426">
        <f t="shared" ca="1" si="18"/>
        <v>0</v>
      </c>
      <c r="O30" s="150">
        <f ca="1">IF($A30="S",VTOTALBM,IF($A30=0,0,ROUND(SomaAgrupBM,15-13*ORÇAMENTO!$AF$11)))</f>
        <v>0</v>
      </c>
      <c r="Q30" s="427"/>
      <c r="R30" s="428"/>
      <c r="T30" s="142" t="str">
        <f t="shared" ca="1" si="19"/>
        <v/>
      </c>
      <c r="U30" s="202" t="str">
        <f t="shared" ca="1" si="20"/>
        <v/>
      </c>
      <c r="V30" s="203" t="str">
        <f t="shared" ca="1" si="21"/>
        <v/>
      </c>
      <c r="W30" s="630">
        <f ca="1">IF($Y30&gt;0,CHOOSE(MATCH(RegimeExecucao,{"Unitário","Global"},0),IF($A30="S",$Y30/$X30,""),($Y30/$X30)*100),0)</f>
        <v>0</v>
      </c>
      <c r="X30" s="429" t="str">
        <f ca="1">IF($Y30&gt;0,CHOOSE(MATCH(RegimeExecucao,{"Unitário","Global"},0),IF($A30="S",ROUND($H30,ORÇAMENTO!$AF$10),""),ROUND($I30,ORÇAMENTO!$AF$11)),"")</f>
        <v/>
      </c>
      <c r="Y30" s="429">
        <f t="shared" ca="1" si="22"/>
        <v>0</v>
      </c>
      <c r="Z30" s="430"/>
      <c r="AB30" s="427"/>
      <c r="AC30" s="595"/>
      <c r="AD30" s="595"/>
      <c r="AE30" s="595"/>
      <c r="AF30" s="595"/>
      <c r="AG30" s="595"/>
      <c r="AH30" s="595"/>
      <c r="AI30" s="595"/>
      <c r="AJ30" s="595"/>
      <c r="AK30" s="595"/>
      <c r="AL30" s="595"/>
      <c r="AM30" s="428"/>
      <c r="AO30">
        <f ca="1">IF($A30="S",IF(BM!$I30=0,0,CHOOSE(MATCH(RegimeExecucao,{"Global","Unitário"},0),ROUND(ROUND(BM.MEDAcumulado,15-13*BM!$A$9)/100*BM!$I30,15-13*ORÇAMENTO!$AF$11),ROUND(ROUND(BM.MEDAcumulado,15-13*BM!$A$9)*ROUND(BM!$H30,15-13*ORÇAMENTO!$AF$10),15-13*ORÇAMENTO!$AF$11))),IF($A30=0,0,ROUND(SomaAgrupBM,15-13*ORÇAMENTO!$AF$11)))</f>
        <v>0</v>
      </c>
    </row>
    <row r="31" spans="1:41" ht="25.5" x14ac:dyDescent="0.2">
      <c r="A31" t="str">
        <f ca="1">ORÇAMENTO!C31</f>
        <v>S</v>
      </c>
      <c r="B31">
        <f ca="1">ORÇAMENTO!D31</f>
        <v>0</v>
      </c>
      <c r="C31" s="139" t="str">
        <f t="shared" ca="1" si="12"/>
        <v>F</v>
      </c>
      <c r="D31" s="142" t="str">
        <f ca="1">ORÇAMENTO!O31</f>
        <v>1.5.3.</v>
      </c>
      <c r="E31" s="202" t="str">
        <f t="shared" si="13"/>
        <v>Placa de regulamentação em aço D = 0,60 m - película retrorrefletiva tipo I + SI - fornecimento e implantação</v>
      </c>
      <c r="F31" s="203" t="str">
        <f t="shared" ca="1" si="14"/>
        <v/>
      </c>
      <c r="G31" s="147" t="str">
        <f ca="1">IF(RegimeExecucao="Global","",ORÇAMENTO!T31)</f>
        <v/>
      </c>
      <c r="H31" s="147" t="str">
        <f ca="1">IF(RegimeExecucao="Global","",ORÇAMENTO!W31)</f>
        <v/>
      </c>
      <c r="I31" s="150">
        <f ca="1">ORÇAMENTO!X31</f>
        <v>602.58000000000004</v>
      </c>
      <c r="J31" s="423">
        <f t="shared" ca="1" si="15"/>
        <v>0</v>
      </c>
      <c r="K31" s="147">
        <f t="shared" ca="1" si="16"/>
        <v>0</v>
      </c>
      <c r="L31" s="424">
        <f t="shared" ca="1" si="17"/>
        <v>0</v>
      </c>
      <c r="M31" s="425">
        <f ca="1">IF($A31="S",VTOTALBM,IF($A31=0,0,ROUND(SomaAgrupBM,15-13*ORÇAMENTO!$AF$11)))</f>
        <v>0</v>
      </c>
      <c r="N31" s="426">
        <f t="shared" ca="1" si="18"/>
        <v>0</v>
      </c>
      <c r="O31" s="150">
        <f ca="1">IF($A31="S",VTOTALBM,IF($A31=0,0,ROUND(SomaAgrupBM,15-13*ORÇAMENTO!$AF$11)))</f>
        <v>0</v>
      </c>
      <c r="Q31" s="427"/>
      <c r="R31" s="428"/>
      <c r="T31" s="142" t="str">
        <f t="shared" ca="1" si="19"/>
        <v/>
      </c>
      <c r="U31" s="202" t="str">
        <f t="shared" ca="1" si="20"/>
        <v/>
      </c>
      <c r="V31" s="203" t="str">
        <f t="shared" ca="1" si="21"/>
        <v/>
      </c>
      <c r="W31" s="630">
        <f ca="1">IF($Y31&gt;0,CHOOSE(MATCH(RegimeExecucao,{"Unitário","Global"},0),IF($A31="S",$Y31/$X31,""),($Y31/$X31)*100),0)</f>
        <v>0</v>
      </c>
      <c r="X31" s="429" t="str">
        <f ca="1">IF($Y31&gt;0,CHOOSE(MATCH(RegimeExecucao,{"Unitário","Global"},0),IF($A31="S",ROUND($H31,ORÇAMENTO!$AF$10),""),ROUND($I31,ORÇAMENTO!$AF$11)),"")</f>
        <v/>
      </c>
      <c r="Y31" s="429">
        <f t="shared" ca="1" si="22"/>
        <v>0</v>
      </c>
      <c r="Z31" s="430"/>
      <c r="AB31" s="427"/>
      <c r="AC31" s="595"/>
      <c r="AD31" s="595"/>
      <c r="AE31" s="595"/>
      <c r="AF31" s="595"/>
      <c r="AG31" s="595"/>
      <c r="AH31" s="595"/>
      <c r="AI31" s="595"/>
      <c r="AJ31" s="595"/>
      <c r="AK31" s="595"/>
      <c r="AL31" s="595"/>
      <c r="AM31" s="428"/>
      <c r="AO31">
        <f ca="1">IF($A31="S",IF(BM!$I31=0,0,CHOOSE(MATCH(RegimeExecucao,{"Global","Unitário"},0),ROUND(ROUND(BM.MEDAcumulado,15-13*BM!$A$9)/100*BM!$I31,15-13*ORÇAMENTO!$AF$11),ROUND(ROUND(BM.MEDAcumulado,15-13*BM!$A$9)*ROUND(BM!$H31,15-13*ORÇAMENTO!$AF$10),15-13*ORÇAMENTO!$AF$11))),IF($A31=0,0,ROUND(SomaAgrupBM,15-13*ORÇAMENTO!$AF$11)))</f>
        <v>0</v>
      </c>
    </row>
    <row r="32" spans="1:41" ht="38.25" x14ac:dyDescent="0.2">
      <c r="A32" t="str">
        <f ca="1">ORÇAMENTO!C32</f>
        <v>S</v>
      </c>
      <c r="B32">
        <f ca="1">ORÇAMENTO!D32</f>
        <v>0</v>
      </c>
      <c r="C32" s="139" t="str">
        <f t="shared" ca="1" si="12"/>
        <v>F</v>
      </c>
      <c r="D32" s="142" t="str">
        <f ca="1">ORÇAMENTO!O32</f>
        <v>1.5.4.</v>
      </c>
      <c r="E32" s="202" t="str">
        <f t="shared" si="13"/>
        <v>Suporte metálico galvanizado para placa de advertência ou regulamentação - lado ou diâmetro de 0,60 m - fornecimento e implantação</v>
      </c>
      <c r="F32" s="203" t="str">
        <f t="shared" ca="1" si="14"/>
        <v/>
      </c>
      <c r="G32" s="147" t="str">
        <f ca="1">IF(RegimeExecucao="Global","",ORÇAMENTO!T32)</f>
        <v/>
      </c>
      <c r="H32" s="147" t="str">
        <f ca="1">IF(RegimeExecucao="Global","",ORÇAMENTO!W32)</f>
        <v/>
      </c>
      <c r="I32" s="150">
        <f ca="1">ORÇAMENTO!X32</f>
        <v>1114.8599999999999</v>
      </c>
      <c r="J32" s="423">
        <f t="shared" ca="1" si="15"/>
        <v>0</v>
      </c>
      <c r="K32" s="147">
        <f t="shared" ca="1" si="16"/>
        <v>0</v>
      </c>
      <c r="L32" s="424">
        <f t="shared" ca="1" si="17"/>
        <v>0</v>
      </c>
      <c r="M32" s="425">
        <f ca="1">IF($A32="S",VTOTALBM,IF($A32=0,0,ROUND(SomaAgrupBM,15-13*ORÇAMENTO!$AF$11)))</f>
        <v>0</v>
      </c>
      <c r="N32" s="426">
        <f t="shared" ca="1" si="18"/>
        <v>0</v>
      </c>
      <c r="O32" s="150">
        <f ca="1">IF($A32="S",VTOTALBM,IF($A32=0,0,ROUND(SomaAgrupBM,15-13*ORÇAMENTO!$AF$11)))</f>
        <v>0</v>
      </c>
      <c r="Q32" s="427"/>
      <c r="R32" s="428"/>
      <c r="T32" s="142" t="str">
        <f t="shared" ca="1" si="19"/>
        <v/>
      </c>
      <c r="U32" s="202" t="str">
        <f t="shared" ca="1" si="20"/>
        <v/>
      </c>
      <c r="V32" s="203" t="str">
        <f t="shared" ca="1" si="21"/>
        <v/>
      </c>
      <c r="W32" s="630">
        <f ca="1">IF($Y32&gt;0,CHOOSE(MATCH(RegimeExecucao,{"Unitário","Global"},0),IF($A32="S",$Y32/$X32,""),($Y32/$X32)*100),0)</f>
        <v>0</v>
      </c>
      <c r="X32" s="429" t="str">
        <f ca="1">IF($Y32&gt;0,CHOOSE(MATCH(RegimeExecucao,{"Unitário","Global"},0),IF($A32="S",ROUND($H32,ORÇAMENTO!$AF$10),""),ROUND($I32,ORÇAMENTO!$AF$11)),"")</f>
        <v/>
      </c>
      <c r="Y32" s="429">
        <f t="shared" ca="1" si="22"/>
        <v>0</v>
      </c>
      <c r="Z32" s="430"/>
      <c r="AB32" s="427"/>
      <c r="AC32" s="595"/>
      <c r="AD32" s="595"/>
      <c r="AE32" s="595"/>
      <c r="AF32" s="595"/>
      <c r="AG32" s="595"/>
      <c r="AH32" s="595"/>
      <c r="AI32" s="595"/>
      <c r="AJ32" s="595"/>
      <c r="AK32" s="595"/>
      <c r="AL32" s="595"/>
      <c r="AM32" s="428"/>
      <c r="AO32">
        <f ca="1">IF($A32="S",IF(BM!$I32=0,0,CHOOSE(MATCH(RegimeExecucao,{"Global","Unitário"},0),ROUND(ROUND(BM.MEDAcumulado,15-13*BM!$A$9)/100*BM!$I32,15-13*ORÇAMENTO!$AF$11),ROUND(ROUND(BM.MEDAcumulado,15-13*BM!$A$9)*ROUND(BM!$H32,15-13*ORÇAMENTO!$AF$10),15-13*ORÇAMENTO!$AF$11))),IF($A32=0,0,ROUND(SomaAgrupBM,15-13*ORÇAMENTO!$AF$11)))</f>
        <v>0</v>
      </c>
    </row>
    <row r="33" spans="3:39" ht="5.0999999999999996" customHeight="1" x14ac:dyDescent="0.2">
      <c r="C33" s="139" t="s">
        <v>248</v>
      </c>
      <c r="D33" s="563"/>
      <c r="E33" s="560"/>
      <c r="F33" s="560"/>
      <c r="G33" s="560"/>
      <c r="H33" s="560"/>
      <c r="I33" s="561"/>
      <c r="J33" s="563"/>
      <c r="K33" s="560"/>
      <c r="L33" s="561"/>
      <c r="M33" s="592"/>
      <c r="N33" s="593"/>
      <c r="O33" s="594"/>
      <c r="Q33" s="563"/>
      <c r="R33" s="561"/>
      <c r="T33" s="563"/>
      <c r="U33" s="560"/>
      <c r="V33" s="560"/>
      <c r="W33" s="560"/>
      <c r="X33" s="560"/>
      <c r="Y33" s="560"/>
      <c r="Z33" s="561"/>
      <c r="AB33" s="563"/>
      <c r="AC33" s="560"/>
      <c r="AD33" s="560"/>
      <c r="AE33" s="560"/>
      <c r="AF33" s="560"/>
      <c r="AG33" s="560"/>
      <c r="AH33" s="560"/>
      <c r="AI33" s="560"/>
      <c r="AJ33" s="560"/>
      <c r="AK33" s="560"/>
      <c r="AL33" s="560"/>
      <c r="AM33" s="561"/>
    </row>
    <row r="34" spans="3:39" x14ac:dyDescent="0.2"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</row>
    <row r="35" spans="3:39" ht="14.25" x14ac:dyDescent="0.2">
      <c r="C35" s="100"/>
      <c r="D35" s="772" t="s">
        <v>189</v>
      </c>
      <c r="E35" s="772"/>
      <c r="F35" s="772"/>
      <c r="G35" s="772"/>
      <c r="H35" s="772"/>
      <c r="I35" s="772"/>
      <c r="J35" s="772"/>
      <c r="K35" s="772"/>
      <c r="L35" s="772"/>
      <c r="M35" s="772"/>
      <c r="N35" s="772"/>
      <c r="O35" s="772"/>
      <c r="T35" s="773" t="s">
        <v>355</v>
      </c>
      <c r="U35" s="773"/>
      <c r="V35" s="773"/>
      <c r="W35" s="773"/>
      <c r="X35" s="773"/>
      <c r="Y35" s="773"/>
      <c r="Z35" s="773"/>
    </row>
    <row r="36" spans="3:39" ht="12.75" customHeight="1" x14ac:dyDescent="0.2">
      <c r="C36" s="100"/>
      <c r="D36" s="711"/>
      <c r="E36" s="711"/>
      <c r="F36" s="711"/>
      <c r="G36" s="711"/>
      <c r="H36" s="711"/>
      <c r="I36" s="711"/>
      <c r="J36" s="711"/>
      <c r="K36" s="711"/>
      <c r="L36" s="711"/>
      <c r="M36" s="711"/>
      <c r="N36" s="711"/>
      <c r="O36" s="711"/>
      <c r="T36" s="774"/>
      <c r="U36" s="774"/>
      <c r="V36" s="774"/>
      <c r="W36" s="774"/>
      <c r="X36" s="774"/>
      <c r="Y36" s="774"/>
      <c r="Z36" s="774"/>
    </row>
    <row r="37" spans="3:39" ht="12.75" customHeight="1" x14ac:dyDescent="0.2">
      <c r="C37" s="100"/>
      <c r="D37" s="711"/>
      <c r="E37" s="711"/>
      <c r="F37" s="711"/>
      <c r="G37" s="711"/>
      <c r="H37" s="711"/>
      <c r="I37" s="711"/>
      <c r="J37" s="711"/>
      <c r="K37" s="711"/>
      <c r="L37" s="711"/>
      <c r="M37" s="711"/>
      <c r="N37" s="711"/>
      <c r="O37" s="711"/>
      <c r="T37" s="774"/>
      <c r="U37" s="774"/>
      <c r="V37" s="774"/>
      <c r="W37" s="774"/>
      <c r="X37" s="774"/>
      <c r="Y37" s="774"/>
      <c r="Z37" s="774"/>
    </row>
    <row r="38" spans="3:39" ht="12.75" customHeight="1" x14ac:dyDescent="0.2">
      <c r="C38" s="100"/>
      <c r="D38" s="711"/>
      <c r="E38" s="711"/>
      <c r="F38" s="711"/>
      <c r="G38" s="711"/>
      <c r="H38" s="711"/>
      <c r="I38" s="711"/>
      <c r="J38" s="711"/>
      <c r="K38" s="711"/>
      <c r="L38" s="711"/>
      <c r="M38" s="711"/>
      <c r="N38" s="711"/>
      <c r="O38" s="711"/>
      <c r="T38" s="774"/>
      <c r="U38" s="774"/>
      <c r="V38" s="774"/>
      <c r="W38" s="774"/>
      <c r="X38" s="774"/>
      <c r="Y38" s="774"/>
      <c r="Z38" s="774"/>
    </row>
    <row r="39" spans="3:39" ht="14.25" x14ac:dyDescent="0.2">
      <c r="C39" s="100"/>
      <c r="D39" s="615"/>
      <c r="E39" s="615"/>
      <c r="F39" s="615"/>
      <c r="G39" s="615"/>
      <c r="H39" s="615"/>
      <c r="I39" s="615"/>
      <c r="J39" s="615"/>
      <c r="K39" s="615"/>
      <c r="L39" s="615"/>
      <c r="M39" s="615"/>
      <c r="N39" s="615"/>
      <c r="O39" s="615"/>
    </row>
    <row r="40" spans="3:39" ht="15" customHeight="1" x14ac:dyDescent="0.25">
      <c r="C40" s="100"/>
      <c r="D40" s="712" t="str">
        <f ca="1">IF(OR(AND(ORÇAMENTO!$AF$7=FALSE,ORÇAMENTO!$AF$10=FALSE,RegimeExecucao="Global"),AND(ORÇAMENTO!$AF$7=FALSE,ORÇAMENTO!$AF$10=FALSE,ORÇAMENTO!$AF$11=FALSE,BM!$A$9=FALSE)),"Não foi considerado arredondamento nos valores da planilha.",CONCATENATE("Foi considerado arredondamento de duas casas decimais para ",IF(AND(RegimeExecucao="Unitário",ORÇAMENTO!$AF$7=TRUE),"Quantidade; ",""),IF(AND(RegimeExecucao="Unitário",ORÇAMENTO!$AF$10=TRUE),"Preço unitário; ",""),IF(ORÇAMENTO!$AF$11=TRUE,"Preço total; ",""),,IF(BM!$A$9=TRUE,"Medição.","")))</f>
        <v>Foi considerado arredondamento de duas casas decimais para Medição.</v>
      </c>
      <c r="E40" s="712"/>
      <c r="F40" s="712"/>
      <c r="G40" s="712"/>
      <c r="H40" s="712"/>
      <c r="I40" s="712"/>
      <c r="J40" s="712"/>
      <c r="K40" s="712"/>
      <c r="L40" s="712"/>
    </row>
    <row r="41" spans="3:39" x14ac:dyDescent="0.2">
      <c r="C41" s="100"/>
      <c r="D41" s="770"/>
      <c r="E41" s="770"/>
      <c r="F41" s="770"/>
      <c r="G41" s="770"/>
      <c r="H41" s="770"/>
      <c r="I41" s="770"/>
    </row>
    <row r="42" spans="3:39" x14ac:dyDescent="0.2">
      <c r="C42" s="100"/>
      <c r="D42" s="768" t="str">
        <f>IF(CAIXA.Modo,"","Os serviços medidos informados neste BM encontram-se concluídos, estão em conformidade com os projetos e especificações aceitos pela CAIXA e foram executados de acordo com as normas técnicas.")</f>
        <v>Os serviços medidos informados neste BM encontram-se concluídos, estão em conformidade com os projetos e especificações aceitos pela CAIXA e foram executados de acordo com as normas técnicas.</v>
      </c>
      <c r="E42" s="768"/>
      <c r="F42" s="768"/>
      <c r="G42" s="768"/>
      <c r="H42" s="768"/>
      <c r="I42" s="768"/>
      <c r="J42" s="768"/>
      <c r="K42" s="768"/>
      <c r="L42" s="768"/>
      <c r="M42" s="768"/>
      <c r="N42" s="768"/>
      <c r="O42" s="768"/>
    </row>
    <row r="43" spans="3:39" ht="39.950000000000003" customHeight="1" x14ac:dyDescent="0.2">
      <c r="C43" s="100"/>
      <c r="E43" s="170" t="str">
        <f>Import.Município</f>
        <v>CONCEIÇÃO DOS OUROS/MG</v>
      </c>
      <c r="J43" s="769"/>
      <c r="K43" s="769"/>
      <c r="L43" s="769"/>
      <c r="M43" s="769"/>
      <c r="N43" s="100"/>
      <c r="O43" s="100"/>
      <c r="W43" s="769"/>
      <c r="X43" s="769"/>
      <c r="Y43" s="769"/>
      <c r="Z43" s="769"/>
    </row>
    <row r="44" spans="3:39" x14ac:dyDescent="0.2">
      <c r="C44" s="100"/>
      <c r="E44" s="12" t="s">
        <v>190</v>
      </c>
      <c r="J44" s="225" t="s">
        <v>304</v>
      </c>
      <c r="K44" s="100"/>
      <c r="L44" s="100"/>
      <c r="M44" s="100"/>
      <c r="N44" s="100"/>
      <c r="O44" s="100"/>
      <c r="W44" s="225" t="s">
        <v>356</v>
      </c>
      <c r="X44" s="100"/>
      <c r="Y44" s="100"/>
      <c r="Z44" s="100"/>
    </row>
    <row r="45" spans="3:39" x14ac:dyDescent="0.2">
      <c r="C45" s="100"/>
      <c r="E45" s="100"/>
      <c r="J45" s="90" t="s">
        <v>109</v>
      </c>
      <c r="K45" s="349" t="str">
        <f t="array" ref="K45:K48">Import.RespFiscalização</f>
        <v>JOSÉ AIRTON JUNHO DOS REIS</v>
      </c>
      <c r="L45" s="91"/>
      <c r="M45" s="100"/>
      <c r="N45" s="100"/>
      <c r="O45" s="100"/>
      <c r="W45" s="90" t="s">
        <v>109</v>
      </c>
      <c r="X45" s="767"/>
      <c r="Y45" s="767"/>
      <c r="Z45" s="767"/>
    </row>
    <row r="46" spans="3:39" x14ac:dyDescent="0.2">
      <c r="C46" s="100"/>
      <c r="E46" s="635">
        <f>DADOS!$F$47</f>
        <v>0</v>
      </c>
      <c r="J46" s="90" t="s">
        <v>128</v>
      </c>
      <c r="K46" s="349" t="str">
        <v>ENGENHEIRO CIVIL</v>
      </c>
      <c r="L46" s="91"/>
      <c r="M46" s="100"/>
      <c r="N46" s="100"/>
      <c r="O46" s="100"/>
      <c r="W46" s="90" t="s">
        <v>357</v>
      </c>
      <c r="X46" s="767"/>
      <c r="Y46" s="767"/>
      <c r="Z46" s="767"/>
    </row>
    <row r="47" spans="3:39" x14ac:dyDescent="0.2">
      <c r="C47" s="100"/>
      <c r="E47" s="173" t="s">
        <v>191</v>
      </c>
      <c r="J47" s="90" t="s">
        <v>110</v>
      </c>
      <c r="K47" s="349" t="str">
        <v>56.250/D</v>
      </c>
      <c r="L47" s="91"/>
      <c r="M47" s="100"/>
      <c r="N47" s="100"/>
      <c r="O47" s="100"/>
      <c r="W47" s="90" t="s">
        <v>110</v>
      </c>
      <c r="X47" s="767"/>
      <c r="Y47" s="767"/>
      <c r="Z47" s="767"/>
    </row>
    <row r="48" spans="3:39" x14ac:dyDescent="0.2">
      <c r="J48" s="90" t="s">
        <v>111</v>
      </c>
      <c r="K48" s="350" t="str">
        <v>MG20242788680</v>
      </c>
      <c r="W48" s="90"/>
      <c r="X48" s="350"/>
    </row>
  </sheetData>
  <sheetProtection password="BD1F" sheet="1" objects="1" scenarios="1" autoFilter="0"/>
  <autoFilter ref="C15:C33"/>
  <mergeCells count="35">
    <mergeCell ref="D5:E5"/>
    <mergeCell ref="F5:H5"/>
    <mergeCell ref="J5:N5"/>
    <mergeCell ref="A3:B3"/>
    <mergeCell ref="D4:E4"/>
    <mergeCell ref="F4:H4"/>
    <mergeCell ref="J4:N4"/>
    <mergeCell ref="C8:C12"/>
    <mergeCell ref="F8:H8"/>
    <mergeCell ref="I8:L8"/>
    <mergeCell ref="M8:N8"/>
    <mergeCell ref="E10:I11"/>
    <mergeCell ref="N10:O11"/>
    <mergeCell ref="AB11:AM11"/>
    <mergeCell ref="J12:L12"/>
    <mergeCell ref="M12:O12"/>
    <mergeCell ref="Q12:R12"/>
    <mergeCell ref="F7:H7"/>
    <mergeCell ref="I7:L7"/>
    <mergeCell ref="M7:N7"/>
    <mergeCell ref="T11:U11"/>
    <mergeCell ref="D40:L40"/>
    <mergeCell ref="D41:I41"/>
    <mergeCell ref="AB15:AM15"/>
    <mergeCell ref="D35:O35"/>
    <mergeCell ref="T35:Z35"/>
    <mergeCell ref="D36:O38"/>
    <mergeCell ref="T36:Z38"/>
    <mergeCell ref="D15:E15"/>
    <mergeCell ref="X47:Z47"/>
    <mergeCell ref="D42:O42"/>
    <mergeCell ref="J43:M43"/>
    <mergeCell ref="W43:Z43"/>
    <mergeCell ref="X45:Z45"/>
    <mergeCell ref="X46:Z46"/>
  </mergeCells>
  <phoneticPr fontId="40" type="noConversion"/>
  <conditionalFormatting sqref="D14:O14 T14:Z14 T16:Z19 D16:O19 D25:O26 T25:Z26">
    <cfRule type="expression" dxfId="45" priority="2303" stopIfTrue="1">
      <formula>OR(ACOMPANHAMENTO="PLE",TIPOORCAMENTO="Proposto",$L14&lt;0,AND($L14&gt;100,RegimeExecucao="Global"),$O14&gt;$I14,$O14&lt;0)</formula>
    </cfRule>
    <cfRule type="expression" dxfId="44" priority="2304" stopIfTrue="1">
      <formula>$A14=1</formula>
    </cfRule>
    <cfRule type="expression" dxfId="43" priority="2305" stopIfTrue="1">
      <formula>$A14&lt;&gt;"S"</formula>
    </cfRule>
  </conditionalFormatting>
  <conditionalFormatting sqref="Q14:R14 AB14:AM14 AB16:AM19 Q16:R19 Q25:R26 AB25:AM26">
    <cfRule type="expression" dxfId="42" priority="2306" stopIfTrue="1">
      <formula>$A14=1</formula>
    </cfRule>
    <cfRule type="expression" dxfId="41" priority="2307" stopIfTrue="1">
      <formula>$A14&lt;&gt;"S"</formula>
    </cfRule>
  </conditionalFormatting>
  <conditionalFormatting sqref="E2">
    <cfRule type="expression" dxfId="40" priority="2308" stopIfTrue="1">
      <formula>Import.RegimeExecução="(SELECIONAR)"</formula>
    </cfRule>
  </conditionalFormatting>
  <conditionalFormatting sqref="F13:H13">
    <cfRule type="expression" dxfId="39" priority="2309" stopIfTrue="1">
      <formula>RegimeExecucao="Global"</formula>
    </cfRule>
  </conditionalFormatting>
  <conditionalFormatting sqref="D15:O15">
    <cfRule type="expression" dxfId="38" priority="2310" stopIfTrue="1">
      <formula>OR(ACOMPANHAMENTO="PLE",TIPOORCAMENTO="Proposto")</formula>
    </cfRule>
  </conditionalFormatting>
  <conditionalFormatting sqref="AB13">
    <cfRule type="cellIs" dxfId="37" priority="2311" stopIfTrue="1" operator="notEqual">
      <formula>1</formula>
    </cfRule>
  </conditionalFormatting>
  <conditionalFormatting sqref="D27:O27 T27:Z27">
    <cfRule type="expression" dxfId="36" priority="86" stopIfTrue="1">
      <formula>OR(ACOMPANHAMENTO="PLE",TIPOORCAMENTO="Proposto",$L27&lt;0,AND($L27&gt;100,RegimeExecucao="Global"),$O27&gt;$I27,$O27&lt;0)</formula>
    </cfRule>
    <cfRule type="expression" dxfId="35" priority="87" stopIfTrue="1">
      <formula>$A27=1</formula>
    </cfRule>
    <cfRule type="expression" dxfId="34" priority="88" stopIfTrue="1">
      <formula>$A27&lt;&gt;"S"</formula>
    </cfRule>
  </conditionalFormatting>
  <conditionalFormatting sqref="Q27:R27 AB27:AM27">
    <cfRule type="expression" dxfId="33" priority="89" stopIfTrue="1">
      <formula>$A27=1</formula>
    </cfRule>
    <cfRule type="expression" dxfId="32" priority="90" stopIfTrue="1">
      <formula>$A27&lt;&gt;"S"</formula>
    </cfRule>
  </conditionalFormatting>
  <conditionalFormatting sqref="D22:O22 T22:Z22">
    <cfRule type="expression" dxfId="31" priority="71" stopIfTrue="1">
      <formula>OR(ACOMPANHAMENTO="PLE",TIPOORCAMENTO="Proposto",$L22&lt;0,AND($L22&gt;100,RegimeExecucao="Global"),$O22&gt;$I22,$O22&lt;0)</formula>
    </cfRule>
    <cfRule type="expression" dxfId="30" priority="72" stopIfTrue="1">
      <formula>$A22=1</formula>
    </cfRule>
    <cfRule type="expression" dxfId="29" priority="73" stopIfTrue="1">
      <formula>$A22&lt;&gt;"S"</formula>
    </cfRule>
  </conditionalFormatting>
  <conditionalFormatting sqref="Q22:R22 AB22:AM22">
    <cfRule type="expression" dxfId="28" priority="74" stopIfTrue="1">
      <formula>$A22=1</formula>
    </cfRule>
    <cfRule type="expression" dxfId="27" priority="75" stopIfTrue="1">
      <formula>$A22&lt;&gt;"S"</formula>
    </cfRule>
  </conditionalFormatting>
  <conditionalFormatting sqref="T24:Z24 D24:O24">
    <cfRule type="expression" dxfId="26" priority="61" stopIfTrue="1">
      <formula>OR(ACOMPANHAMENTO="PLE",TIPOORCAMENTO="Proposto",$L24&lt;0,AND($L24&gt;100,RegimeExecucao="Global"),$O24&gt;$I24,$O24&lt;0)</formula>
    </cfRule>
    <cfRule type="expression" dxfId="25" priority="62" stopIfTrue="1">
      <formula>$A24=1</formula>
    </cfRule>
    <cfRule type="expression" dxfId="24" priority="63" stopIfTrue="1">
      <formula>$A24&lt;&gt;"S"</formula>
    </cfRule>
  </conditionalFormatting>
  <conditionalFormatting sqref="AB24:AM24 Q24:R24">
    <cfRule type="expression" dxfId="23" priority="64" stopIfTrue="1">
      <formula>$A24=1</formula>
    </cfRule>
    <cfRule type="expression" dxfId="22" priority="65" stopIfTrue="1">
      <formula>$A24&lt;&gt;"S"</formula>
    </cfRule>
  </conditionalFormatting>
  <conditionalFormatting sqref="D23:O23 T23:Z23">
    <cfRule type="expression" dxfId="21" priority="11" stopIfTrue="1">
      <formula>OR(ACOMPANHAMENTO="PLE",TIPOORCAMENTO="Proposto",$L23&lt;0,AND($L23&gt;100,RegimeExecucao="Global"),$O23&gt;$I23,$O23&lt;0)</formula>
    </cfRule>
    <cfRule type="expression" dxfId="20" priority="12" stopIfTrue="1">
      <formula>$A23=1</formula>
    </cfRule>
    <cfRule type="expression" dxfId="19" priority="13" stopIfTrue="1">
      <formula>$A23&lt;&gt;"S"</formula>
    </cfRule>
  </conditionalFormatting>
  <conditionalFormatting sqref="Q23:R23 AB23:AM23">
    <cfRule type="expression" dxfId="18" priority="14" stopIfTrue="1">
      <formula>$A23=1</formula>
    </cfRule>
    <cfRule type="expression" dxfId="17" priority="15" stopIfTrue="1">
      <formula>$A23&lt;&gt;"S"</formula>
    </cfRule>
  </conditionalFormatting>
  <conditionalFormatting sqref="D20:O21 T20:Z21">
    <cfRule type="expression" dxfId="16" priority="6" stopIfTrue="1">
      <formula>OR(ACOMPANHAMENTO="PLE",TIPOORCAMENTO="Proposto",$L20&lt;0,AND($L20&gt;100,RegimeExecucao="Global"),$O20&gt;$I20,$O20&lt;0)</formula>
    </cfRule>
    <cfRule type="expression" dxfId="15" priority="7" stopIfTrue="1">
      <formula>$A20=1</formula>
    </cfRule>
    <cfRule type="expression" dxfId="14" priority="8" stopIfTrue="1">
      <formula>$A20&lt;&gt;"S"</formula>
    </cfRule>
  </conditionalFormatting>
  <conditionalFormatting sqref="Q20:R21 AB20:AM21">
    <cfRule type="expression" dxfId="13" priority="9" stopIfTrue="1">
      <formula>$A20=1</formula>
    </cfRule>
    <cfRule type="expression" dxfId="12" priority="10" stopIfTrue="1">
      <formula>$A20&lt;&gt;"S"</formula>
    </cfRule>
  </conditionalFormatting>
  <conditionalFormatting sqref="D28:O32 T28:Z32">
    <cfRule type="expression" dxfId="11" priority="1" stopIfTrue="1">
      <formula>OR(ACOMPANHAMENTO="PLE",TIPOORCAMENTO="Proposto",$L28&lt;0,AND($L28&gt;100,RegimeExecucao="Global"),$O28&gt;$I28,$O28&lt;0)</formula>
    </cfRule>
    <cfRule type="expression" dxfId="10" priority="2" stopIfTrue="1">
      <formula>$A28=1</formula>
    </cfRule>
    <cfRule type="expression" dxfId="9" priority="3" stopIfTrue="1">
      <formula>$A28&lt;&gt;"S"</formula>
    </cfRule>
  </conditionalFormatting>
  <conditionalFormatting sqref="Q28:R32 AB28:AM32">
    <cfRule type="expression" dxfId="8" priority="4" stopIfTrue="1">
      <formula>$A28=1</formula>
    </cfRule>
    <cfRule type="expression" dxfId="7" priority="5" stopIfTrue="1">
      <formula>$A28&lt;&gt;"S"</formula>
    </cfRule>
  </conditionalFormatting>
  <dataValidations count="4">
    <dataValidation type="list" allowBlank="1" showErrorMessage="1" sqref="Z14 Z16:Z32">
      <formula1>"não executado,não previsto no orçamento,material inadequado,desacordo com os projetos,não atende as observações,qualidade insatisfatória,ver observações abaixo"</formula1>
      <formula2>0</formula2>
    </dataValidation>
    <dataValidation type="decimal" errorStyle="warning" allowBlank="1" showErrorMessage="1" errorTitle="Atenção!" error="Digite somente valores entre 0 e a Medição Acumulada." sqref="Q14:R14 Q16:R32">
      <formula1>0</formula1>
      <formula2>BM.MEDAcumulado</formula2>
    </dataValidation>
    <dataValidation type="whole" operator="greaterThan" allowBlank="1" showInputMessage="1" showErrorMessage="1" sqref="O8">
      <formula1>0</formula1>
    </dataValidation>
    <dataValidation type="decimal" errorStyle="warning" allowBlank="1" showErrorMessage="1" errorTitle="Atenção!" error="% medido é superior a 100% (Global)_x000a_ou_x000a_Quantidade é superior a contratada  (P. Unit)_x000a_ou_x000a_Evolução acumulada negativa" sqref="AB14:AM14 AB16:AM32">
      <formula1>BM.MinMed</formula1>
      <formula2>BM.MaxMed</formula2>
    </dataValidation>
  </dataValidations>
  <pageMargins left="0.78740157480314998" right="0.78740157480314998" top="0.78740157480314998" bottom="0.78740157480314998" header="0.59055118110236204" footer="0.59055118110236204"/>
  <pageSetup paperSize="9" scale="59" firstPageNumber="0" fitToHeight="0" orientation="landscape" r:id="rId1"/>
  <headerFooter alignWithMargins="0">
    <oddHeader>&amp;C&amp;14I</oddHeader>
    <oddFooter>&amp;LPMv3.0.4&amp;R&amp;P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5" r:id="rId4" name="CaixaArredMed">
              <controlPr defaultSize="0" print="0" autoFill="0" autoLine="0" autoPict="0">
                <anchor moveWithCells="1" sizeWithCells="1">
                  <from>
                    <xdr:col>10</xdr:col>
                    <xdr:colOff>219075</xdr:colOff>
                    <xdr:row>9</xdr:row>
                    <xdr:rowOff>47625</xdr:rowOff>
                  </from>
                  <to>
                    <xdr:col>10</xdr:col>
                    <xdr:colOff>514350</xdr:colOff>
                    <xdr:row>10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5" name="Botão de rotação 23">
              <controlPr defaultSize="0" print="0" autoFill="0" autoLine="0" autoPict="0">
                <anchor moveWithCells="1" sizeWithCells="1">
                  <from>
                    <xdr:col>15</xdr:col>
                    <xdr:colOff>28575</xdr:colOff>
                    <xdr:row>6</xdr:row>
                    <xdr:rowOff>123825</xdr:rowOff>
                  </from>
                  <to>
                    <xdr:col>15</xdr:col>
                    <xdr:colOff>266700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4">
    <pageSetUpPr fitToPage="1"/>
  </sheetPr>
  <dimension ref="A1:AO51"/>
  <sheetViews>
    <sheetView showGridLines="0" zoomScale="90" zoomScaleNormal="90" zoomScaleSheetLayoutView="90" workbookViewId="0">
      <pane xSplit="6" ySplit="13" topLeftCell="G14" activePane="bottomRight" state="frozen"/>
      <selection activeCell="D1" sqref="D1"/>
      <selection pane="topRight" activeCell="G1" sqref="G1"/>
      <selection pane="bottomLeft" activeCell="D14" sqref="D14"/>
      <selection pane="bottomRight" activeCell="A15" sqref="A15"/>
    </sheetView>
  </sheetViews>
  <sheetFormatPr defaultRowHeight="12.75" x14ac:dyDescent="0.2"/>
  <cols>
    <col min="1" max="3" width="9.140625" hidden="1" customWidth="1"/>
    <col min="4" max="4" width="3.7109375" customWidth="1"/>
    <col min="5" max="5" width="7.7109375" customWidth="1"/>
    <col min="6" max="6" width="35.7109375" customWidth="1"/>
    <col min="7" max="7" width="15.7109375" customWidth="1"/>
    <col min="8" max="8" width="12.7109375" customWidth="1"/>
    <col min="9" max="9" width="7.7109375" customWidth="1"/>
    <col min="10" max="10" width="16.7109375" customWidth="1"/>
    <col min="11" max="11" width="5.7109375" customWidth="1"/>
    <col min="12" max="15" width="16.7109375" customWidth="1"/>
    <col min="16" max="16" width="11.7109375" customWidth="1"/>
    <col min="17" max="21" width="9.140625" hidden="1" customWidth="1"/>
    <col min="22" max="22" width="12.140625" hidden="1" customWidth="1"/>
    <col min="23" max="24" width="5.7109375" customWidth="1"/>
    <col min="25" max="26" width="16.7109375" customWidth="1"/>
    <col min="27" max="27" width="1.7109375" customWidth="1"/>
    <col min="29" max="41" width="9.140625" hidden="1" customWidth="1"/>
  </cols>
  <sheetData>
    <row r="1" spans="1:41" ht="30" customHeight="1" x14ac:dyDescent="0.2">
      <c r="F1" s="437" t="str">
        <f>CONCATENATE("RRE - RELATÓRIO RESUMO DO EMPREENDIMENTO - ",IF(CAIXA.Modo,"CAIXA","TOMADOR"))</f>
        <v>RRE - RELATÓRIO RESUMO DO EMPREENDIMENTO - TOMADOR</v>
      </c>
      <c r="H1" s="10"/>
      <c r="I1" s="10"/>
      <c r="AC1" s="19"/>
      <c r="AD1" s="438" t="s">
        <v>358</v>
      </c>
      <c r="AE1" s="439" t="s">
        <v>359</v>
      </c>
    </row>
    <row r="2" spans="1:41" x14ac:dyDescent="0.2">
      <c r="AC2" s="440" t="str">
        <f>J24</f>
        <v>Repasse</v>
      </c>
      <c r="AD2" s="441">
        <f ca="1">AD6-AD4-AD3</f>
        <v>0</v>
      </c>
      <c r="AE2" s="441">
        <f ca="1">AE6-AE4-AE3</f>
        <v>0</v>
      </c>
    </row>
    <row r="3" spans="1:41" x14ac:dyDescent="0.2">
      <c r="E3" s="702" t="s">
        <v>149</v>
      </c>
      <c r="F3" s="702"/>
      <c r="G3" s="702"/>
      <c r="H3" s="702"/>
      <c r="I3" s="689" t="s">
        <v>147</v>
      </c>
      <c r="J3" s="689"/>
      <c r="K3" s="689"/>
      <c r="L3" s="107" t="s">
        <v>148</v>
      </c>
      <c r="M3" s="180"/>
      <c r="N3" s="442"/>
      <c r="O3" s="443"/>
      <c r="P3" s="354" t="s">
        <v>212</v>
      </c>
      <c r="R3" s="180"/>
      <c r="S3" s="180"/>
      <c r="T3" s="180"/>
      <c r="U3" s="180"/>
      <c r="AC3" s="440" t="s">
        <v>171</v>
      </c>
      <c r="AD3" s="441">
        <f ca="1">SUM(T13:OFFSET(T23,-1,0))</f>
        <v>0</v>
      </c>
      <c r="AE3" s="441">
        <f ca="1">IF(OR($O$27&lt;$M$27,$M$25&gt;$AD$3),MIN($M$25,$L$25),MIN($AD$3,$N$27-$N$26+$M$25))</f>
        <v>0</v>
      </c>
    </row>
    <row r="4" spans="1:41" ht="12.75" customHeight="1" x14ac:dyDescent="0.2">
      <c r="E4" s="707" t="str">
        <f>Import.Proponente</f>
        <v>PREFEITURA MUNICIPAL DE CONCEIÇÃO DOS OUROS</v>
      </c>
      <c r="F4" s="707"/>
      <c r="G4" s="707"/>
      <c r="H4" s="707"/>
      <c r="I4" s="698" t="str">
        <f>Import.CR</f>
        <v>1090.502-01/2023</v>
      </c>
      <c r="J4" s="698"/>
      <c r="K4" s="698"/>
      <c r="L4" s="68" t="str">
        <f>Import.SICONV</f>
        <v>950338/2023</v>
      </c>
      <c r="M4" s="783" t="s">
        <v>309</v>
      </c>
      <c r="N4" s="784"/>
      <c r="O4" s="785"/>
      <c r="P4" s="444" t="str">
        <f>import.recurso</f>
        <v>OGU</v>
      </c>
      <c r="R4" s="180"/>
      <c r="S4" s="180"/>
      <c r="T4" s="443"/>
      <c r="U4" s="443"/>
      <c r="AC4" s="440" t="s">
        <v>360</v>
      </c>
      <c r="AD4" s="441">
        <f ca="1">SUM(U13:OFFSET(U23,-1,0))</f>
        <v>0</v>
      </c>
      <c r="AE4" s="441">
        <f ca="1">IF(OR($O$27&lt;$M$27,$M$26&gt;$AD$4),MIN($M$26,$L$26),MIN($AD$4,$N$27+$M$26))</f>
        <v>0</v>
      </c>
    </row>
    <row r="5" spans="1:41" ht="5.0999999999999996" customHeight="1" x14ac:dyDescent="0.2">
      <c r="H5" s="357"/>
      <c r="I5" s="357"/>
      <c r="J5" s="357"/>
      <c r="K5" s="357"/>
      <c r="L5" s="357"/>
      <c r="M5" s="445"/>
      <c r="N5" s="341"/>
      <c r="O5" s="55"/>
      <c r="R5" s="180"/>
      <c r="S5" s="180"/>
      <c r="T5" s="180"/>
      <c r="U5" s="180"/>
    </row>
    <row r="6" spans="1:41" ht="12.75" customHeight="1" x14ac:dyDescent="0.2">
      <c r="E6" s="689" t="s">
        <v>204</v>
      </c>
      <c r="F6" s="689"/>
      <c r="G6" s="689"/>
      <c r="H6" s="689"/>
      <c r="I6" s="811" t="s">
        <v>308</v>
      </c>
      <c r="J6" s="811"/>
      <c r="K6" s="811"/>
      <c r="L6" s="811"/>
      <c r="M6" s="67" t="str">
        <f>IF(import.recurso="FGTS","FINANCIAMENTO","REPASSE")</f>
        <v>REPASSE</v>
      </c>
      <c r="N6" s="120" t="s">
        <v>310</v>
      </c>
      <c r="O6" s="67" t="s">
        <v>311</v>
      </c>
      <c r="P6" s="181" t="s">
        <v>361</v>
      </c>
      <c r="R6" s="180"/>
      <c r="S6" s="180"/>
      <c r="T6" s="180"/>
      <c r="U6" s="180"/>
      <c r="AC6" s="440" t="s">
        <v>362</v>
      </c>
      <c r="AD6" s="441">
        <f ca="1">$O$27</f>
        <v>0</v>
      </c>
      <c r="AE6" s="441">
        <f ca="1">AD6</f>
        <v>0</v>
      </c>
    </row>
    <row r="7" spans="1:41" ht="12.75" customHeight="1" x14ac:dyDescent="0.2">
      <c r="D7" s="678" t="s">
        <v>211</v>
      </c>
      <c r="E7" s="698" t="str">
        <f>Import.Apelido</f>
        <v>Adequação de Estradas Vicinais</v>
      </c>
      <c r="F7" s="698"/>
      <c r="G7" s="698"/>
      <c r="H7" s="698"/>
      <c r="I7" s="808" t="str">
        <f>Import.Município</f>
        <v>CONCEIÇÃO DOS OUROS/MG</v>
      </c>
      <c r="J7" s="808"/>
      <c r="K7" s="808"/>
      <c r="L7" s="808"/>
      <c r="M7" s="446">
        <f>Import.Repasse</f>
        <v>481104</v>
      </c>
      <c r="N7" s="447">
        <f>Import.Contrapartida</f>
        <v>18896</v>
      </c>
      <c r="O7" s="446">
        <f>M7+N7</f>
        <v>500000</v>
      </c>
      <c r="P7" s="567">
        <f>IF(ACOMPANHAMENTO="PLE",PLE.Medicao,BM.medicao)</f>
        <v>1</v>
      </c>
      <c r="R7" s="180"/>
      <c r="S7" s="180"/>
      <c r="T7" s="180"/>
      <c r="U7" s="180"/>
    </row>
    <row r="8" spans="1:41" x14ac:dyDescent="0.2">
      <c r="D8" s="678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R8" s="180"/>
      <c r="S8" s="180"/>
      <c r="T8" s="180"/>
      <c r="U8" s="180"/>
    </row>
    <row r="9" spans="1:41" ht="12.75" customHeight="1" x14ac:dyDescent="0.2">
      <c r="D9" s="678"/>
      <c r="G9" s="809" t="s">
        <v>363</v>
      </c>
      <c r="H9" s="809"/>
      <c r="I9" s="809" t="s">
        <v>364</v>
      </c>
      <c r="J9" s="809"/>
      <c r="K9" s="448"/>
      <c r="L9" s="810" t="s">
        <v>315</v>
      </c>
      <c r="M9" s="449" t="s">
        <v>318</v>
      </c>
      <c r="N9" s="358" t="s">
        <v>240</v>
      </c>
      <c r="P9" s="450"/>
      <c r="R9" s="180"/>
      <c r="S9" s="180"/>
      <c r="T9" s="180"/>
      <c r="U9" s="180"/>
      <c r="V9" s="9" t="s">
        <v>365</v>
      </c>
    </row>
    <row r="10" spans="1:41" ht="12.75" customHeight="1" x14ac:dyDescent="0.2">
      <c r="D10" s="678"/>
      <c r="G10" s="700" t="str">
        <f ca="1">IF(J10="-","-",IF($P$23&lt;J10,"Atrasada",IF($P$23&gt;J10,"Adiantada","Normal")))</f>
        <v>Atrasada</v>
      </c>
      <c r="H10" s="700"/>
      <c r="I10" s="451">
        <f>DATE(YEAR($L$34),MONTH($L$34),1)</f>
        <v>45383</v>
      </c>
      <c r="J10" s="452">
        <f ca="1">IF($I$10&lt;DATE(YEAR(CRONO!$T$13),MONTH(CRONO!$T$13),1),0,IF($I$10&gt;CRONO!$AE$13,1,INDEX(CRONO!$S$38:$AS$38,MATCH(RRE!$I$10,CRONO!$S$13:$AS$13,0))))</f>
        <v>1.0000000088029792</v>
      </c>
      <c r="K10" s="448"/>
      <c r="L10" s="810"/>
      <c r="M10" s="453">
        <f ca="1">QCI!L10</f>
        <v>0</v>
      </c>
      <c r="N10" s="360">
        <f ca="1">QCI!M10</f>
        <v>-1148.5200000000004</v>
      </c>
      <c r="P10" s="450"/>
      <c r="R10" s="180"/>
      <c r="S10" s="180"/>
      <c r="T10" s="180"/>
      <c r="U10" s="180"/>
      <c r="AC10" s="805" t="s">
        <v>366</v>
      </c>
      <c r="AD10" s="805"/>
      <c r="AE10" s="805"/>
      <c r="AF10" s="805"/>
      <c r="AG10" s="805"/>
      <c r="AH10" s="805"/>
      <c r="AJ10" s="805" t="s">
        <v>4</v>
      </c>
      <c r="AK10" s="805"/>
      <c r="AL10" s="805"/>
      <c r="AM10" s="805"/>
      <c r="AN10" s="805"/>
      <c r="AO10" s="805"/>
    </row>
    <row r="11" spans="1:41" ht="20.100000000000001" customHeight="1" x14ac:dyDescent="0.2">
      <c r="D11" s="678"/>
      <c r="M11" s="624" t="str">
        <f>IF(CAIXA.Modo,"Valores Aferidos (R$)","Valores Medidos (R$)")</f>
        <v>Valores Medidos (R$)</v>
      </c>
      <c r="N11" s="624"/>
      <c r="O11" s="624"/>
      <c r="R11" s="454"/>
      <c r="S11" s="454"/>
      <c r="T11" s="624"/>
      <c r="U11" s="624"/>
      <c r="V11" s="621" t="s">
        <v>412</v>
      </c>
      <c r="Y11" s="806" t="str">
        <f>IF(CAIXA.Modo,"Valores Aferidos (R$)","Valores Medidos (R$)")</f>
        <v>Valores Medidos (R$)</v>
      </c>
      <c r="Z11" s="806"/>
      <c r="AC11" s="807" t="s">
        <v>367</v>
      </c>
      <c r="AD11" s="807"/>
      <c r="AE11" s="807"/>
      <c r="AF11" s="807" t="s">
        <v>368</v>
      </c>
      <c r="AG11" s="807"/>
      <c r="AH11" s="807"/>
      <c r="AJ11" s="807" t="s">
        <v>367</v>
      </c>
      <c r="AK11" s="807"/>
      <c r="AL11" s="807"/>
      <c r="AM11" s="807" t="s">
        <v>368</v>
      </c>
      <c r="AN11" s="807"/>
      <c r="AO11" s="807"/>
    </row>
    <row r="12" spans="1:41" hidden="1" x14ac:dyDescent="0.2">
      <c r="A12" t="e">
        <f ca="1">MATCH(E12,ORÇAMENTO!$E$15:$E$33,0)-1</f>
        <v>#N/A</v>
      </c>
      <c r="B12" t="e">
        <f ca="1">IF(ISERROR($A12),NA(),OFFSET(ORÇAMENTO!$D$15,$A12,0))</f>
        <v>#N/A</v>
      </c>
      <c r="C12" t="str">
        <f ca="1">QCI!B12</f>
        <v>Branco</v>
      </c>
      <c r="D12" t="str">
        <f ca="1">IF(L12&gt;0,"F","")</f>
        <v/>
      </c>
      <c r="E12" s="456">
        <f>QCI!D12</f>
        <v>-1</v>
      </c>
      <c r="F12" s="457" t="str">
        <f ca="1">QCI!G12</f>
        <v/>
      </c>
      <c r="G12" s="458">
        <f>QCI!H12</f>
        <v>0</v>
      </c>
      <c r="H12" s="459">
        <f>QCI!I12</f>
        <v>0</v>
      </c>
      <c r="I12" s="460" t="str">
        <f ca="1">QCI!J12</f>
        <v/>
      </c>
      <c r="J12" s="461" t="str">
        <f ca="1">QCI!K12</f>
        <v/>
      </c>
      <c r="K12" s="462" t="str">
        <f ca="1">IF($C12="Automático",IF(ACOMPANHAMENTO="BM",BM.medicao,PLE.Medicao),IF(ISBLANK($X12),"",$X12))</f>
        <v/>
      </c>
      <c r="L12" s="463">
        <f ca="1">QCI!$O12</f>
        <v>0</v>
      </c>
      <c r="M12" s="465">
        <f ca="1">ROUND(IF(C12="Automático",AE12+AL12,Y12),2)</f>
        <v>0</v>
      </c>
      <c r="N12" s="466">
        <f ca="1">O12-M12</f>
        <v>0</v>
      </c>
      <c r="O12" s="467">
        <f ca="1">ROUND(IF(C12="Automático",AH12+AO12,Z12),2)</f>
        <v>0</v>
      </c>
      <c r="P12" s="468">
        <f ca="1">O12/(L12+10^-12)</f>
        <v>0</v>
      </c>
      <c r="R12" s="464">
        <f ca="1">ROUND(IF($C12="Automático",AC12+AJ12,$Y12*IF(ISERROR(QCI!$AA12/QCI!$O12),0,QCI!$AA12/QCI!$O12)),2)</f>
        <v>0</v>
      </c>
      <c r="S12" s="464">
        <f ca="1">ROUND(IF($C12="Automático",AD12+AK12,$Y12*IF(ISERROR(QCI!$AB12/QCI!$O12),0,QCI!$AB12/QCI!$O12)),2)</f>
        <v>0</v>
      </c>
      <c r="T12" s="464">
        <f ca="1">ROUND(IF($C12="Automático",AF12+AM12,$Z12*IF(ISERROR(QCI!$AA12/QCI!$O12),0,QCI!$AA12/QCI!$O12)),2)</f>
        <v>0</v>
      </c>
      <c r="U12" s="464">
        <f ca="1">ROUND(IF($C12="Automático",AG12+AN12,$Z12*IF(ISERROR(QCI!$AB12/QCI!$O12),0,QCI!$AB12/QCI!$O12)),2)</f>
        <v>0</v>
      </c>
      <c r="V12" s="622" t="str">
        <f ca="1">IF(AND($L12&gt;0,$J12&lt;&gt;0,$J12&lt;&gt;"",COUNTIF($J12:$J$13,$J12)=1),OFFSET(V12,-1,0)+1,OFFSET(V12,-1,0))</f>
        <v>Lista CTEFs</v>
      </c>
      <c r="X12" s="368"/>
      <c r="Y12" s="369"/>
      <c r="Z12" s="371"/>
      <c r="AC12" s="229" t="e">
        <f ca="1">IF(ACOMPANHAMENTO&lt;&gt;"PLE",0,SUMPRODUCT((OFFSET(CÁLCULO!$FN$15:$HL$15,$A12,0,$B12)&lt;=(PLE.Medicao-1))*OFFSET(CÁLCULO!$BP$15:$DN$15,$A12,0,$B12)*OFFSET(ORÇAMENTO!$AA$15,$A12,0,$B12)/(OFFSET(ORÇAMENTO!$X$15,$A12,0,$B12)+10^-12))+IF(AUTOEVENTO="Manual",SUMPRODUCT((OFFSET(CÁLCULO!$M$15,$A12,0,$B12)=1)*OFFSET(ORÇAMENTO!$AA$15,$A12,0,$B12)*(PLE!$AE$9-PLE!$Y$9)),0))</f>
        <v>#N/A</v>
      </c>
      <c r="AD12" s="229" t="e">
        <f ca="1">IF(ACOMPANHAMENTO&lt;&gt;"PLE",0,SUMPRODUCT((OFFSET(CÁLCULO!$FN$15:$HL$15,$A12,0,$B12)&lt;=(PLE.Medicao-1))*OFFSET(CÁLCULO!$BP$15:$DN$15,$A12,0,$B12)*OFFSET(ORÇAMENTO!$AB$15,$A12,0,$B12)/(OFFSET(ORÇAMENTO!$X$15,$A12,0,$B12)+10^-12))+IF(AUTOEVENTO="Manual",SUMPRODUCT((OFFSET(CÁLCULO!$M$15,$A12,0,$B12)=1)*OFFSET(ORÇAMENTO!$AB$15,$A12,0,$B12)*(PLE!$AE$9-PLE!$Y$9)),0))</f>
        <v>#N/A</v>
      </c>
      <c r="AE12" s="229" t="e">
        <f ca="1">ROUND(IF(ACOMPANHAMENTO&lt;&gt;"PLE",0,SUMIF(OFFSET(CÁLCULO!$FN$15:$HL$15,$A12,0,$B12),"&lt;="&amp;(PLE.Medicao-1),OFFSET(CÁLCULO!$BP$15:$DN$15,$A12,0,$B12))+IF(AUTOEVENTO="Manual",SUMIF(OFFSET(CÁLCULO!$M$15,$A12,0,$B12),1,OFFSET(ORÇAMENTO!$X$15,$A12,0,$B12))*(PLE!$AE$9-PLE!$Y$9),0)),2)</f>
        <v>#N/A</v>
      </c>
      <c r="AF12" s="229" t="e">
        <f ca="1">IF(ACOMPANHAMENTO&lt;&gt;"PLE",0,SUMPRODUCT((OFFSET(CÁLCULO!$FN$15:$HL$15,$A12,0,$B12)&lt;=PLE.Medicao)*OFFSET(CÁLCULO!$BP$15:$DN$15,$A12,0,$B12)*OFFSET(ORÇAMENTO!$AA$15,$A12,0,$B12)/(OFFSET(ORÇAMENTO!$X$15,$A12,0,$B12)+10^-12))+IF(AUTOEVENTO="Manual",SUMPRODUCT((OFFSET(CÁLCULO!$M$15,$A12,0,$B12)=1)*OFFSET(ORÇAMENTO!$AA$15,$A12,0,$B12)*PLE!$AE$9),0))</f>
        <v>#N/A</v>
      </c>
      <c r="AG12" s="229" t="e">
        <f ca="1">IF(ACOMPANHAMENTO&lt;&gt;"PLE",0,SUMPRODUCT((OFFSET(CÁLCULO!$FN$15:$HL$15,$A12,0,$B12)&lt;=PLE.Medicao)*OFFSET(CÁLCULO!$BP$15:$DN$15,$A12,0,$B12)*OFFSET(ORÇAMENTO!$AB$15,$A12,0,$B12)/(OFFSET(ORÇAMENTO!$X$15,$A12,0,$B12)+10^-12))+IF(AUTOEVENTO="Manual",SUMPRODUCT((OFFSET(CÁLCULO!$M$15,$A12,0,$B12)=1)*OFFSET(ORÇAMENTO!$AB$15,$A12,0,$B12)*PLE!$AE$9),0))</f>
        <v>#N/A</v>
      </c>
      <c r="AH12" s="229" t="e">
        <f ca="1">ROUND(IF(ACOMPANHAMENTO&lt;&gt;"PLE",0,SUMIF(OFFSET(CÁLCULO!$FN$15:$HL$15,$A12,0,$B12),"&lt;="&amp;PLE.Medicao,OFFSET(CÁLCULO!$BP$15:$DN$15,$A12,0,$B12))+IF(AUTOEVENTO="Manual",SUMIF(OFFSET(CÁLCULO!$M$15,$A12,0,$B12),1,OFFSET(ORÇAMENTO!$X$15,$A12,0,$B12))*PLE!$AE$9,0)),2)</f>
        <v>#N/A</v>
      </c>
      <c r="AJ12" s="229">
        <f ca="1">IF(ACOMPANHAMENTO&lt;&gt;"BM",0,SUMPRODUCT(OFFSET(BM!$M$15,$A12,0,$B12)*(OFFSET(BM!$A$15,$A12,0,$B12)="S")*OFFSET(ORÇAMENTO!AA$15,$A12,0,$B12)/(OFFSET(ORÇAMENTO!$X$15,$A12,0,$B12)+10^-12)))</f>
        <v>0</v>
      </c>
      <c r="AK12" s="229">
        <f ca="1">IF(ACOMPANHAMENTO&lt;&gt;"BM",0,SUMPRODUCT(OFFSET(BM!$M$15,$A12,0,$B12)*(OFFSET(BM!$A$15,$A12,0,$B12)="S")*OFFSET(ORÇAMENTO!AB$15,$A12,0,$B12)/(OFFSET(ORÇAMENTO!$X$15,$A12,0,$B12)+10^-12)))</f>
        <v>0</v>
      </c>
      <c r="AL12" s="229">
        <f ca="1">IF(ACOMPANHAMENTO&lt;&gt;"BM",0,OFFSET(BM!$M$15,$A12,0))</f>
        <v>0</v>
      </c>
      <c r="AM12" s="229">
        <f ca="1">IF(ACOMPANHAMENTO&lt;&gt;"BM",0,SUMPRODUCT(OFFSET(BM!$O$15,$A12,0,$B12)*(OFFSET(BM!$A$15,$A12,0,$B12)="S")*OFFSET(ORÇAMENTO!AA$15,$A12,0,$B12)/(OFFSET(ORÇAMENTO!$X$15,$A12,0,$B12)+10^-12)))</f>
        <v>0</v>
      </c>
      <c r="AN12" s="229">
        <f ca="1">IF(ACOMPANHAMENTO&lt;&gt;"BM",0,SUMPRODUCT(OFFSET(BM!$O$15,$A12,0,$B12)*(OFFSET(BM!$A$15,$A12,0,$B12)="S")*OFFSET(ORÇAMENTO!AB$15,$A12,0,$B12)/(OFFSET(ORÇAMENTO!$X$15,$A12,0,$B12)+10^-12)))</f>
        <v>0</v>
      </c>
      <c r="AO12" s="229">
        <f ca="1">IF(ACOMPANHAMENTO&lt;&gt;"BM",0,OFFSET(BM!$O$15,$A12,0))</f>
        <v>0</v>
      </c>
    </row>
    <row r="13" spans="1:41" ht="39.950000000000003" customHeight="1" x14ac:dyDescent="0.2">
      <c r="A13" s="375" t="s">
        <v>369</v>
      </c>
      <c r="B13" s="12" t="s">
        <v>223</v>
      </c>
      <c r="C13" s="375" t="s">
        <v>320</v>
      </c>
      <c r="D13" s="131" t="s">
        <v>219</v>
      </c>
      <c r="E13" s="132" t="s">
        <v>197</v>
      </c>
      <c r="F13" s="132" t="s">
        <v>323</v>
      </c>
      <c r="G13" s="132" t="s">
        <v>163</v>
      </c>
      <c r="H13" s="132" t="s">
        <v>205</v>
      </c>
      <c r="I13" s="132" t="s">
        <v>324</v>
      </c>
      <c r="J13" s="132" t="s">
        <v>325</v>
      </c>
      <c r="K13" s="376" t="s">
        <v>370</v>
      </c>
      <c r="L13" s="132" t="s">
        <v>371</v>
      </c>
      <c r="M13" s="376" t="s">
        <v>367</v>
      </c>
      <c r="N13" s="377" t="s">
        <v>374</v>
      </c>
      <c r="O13" s="378" t="s">
        <v>368</v>
      </c>
      <c r="P13" s="132" t="s">
        <v>377</v>
      </c>
      <c r="R13" s="469" t="s">
        <v>372</v>
      </c>
      <c r="S13" s="469" t="s">
        <v>373</v>
      </c>
      <c r="T13" s="469" t="s">
        <v>375</v>
      </c>
      <c r="U13" s="469" t="s">
        <v>376</v>
      </c>
      <c r="V13" s="623"/>
      <c r="X13" s="376" t="s">
        <v>370</v>
      </c>
      <c r="Y13" s="197" t="s">
        <v>367</v>
      </c>
      <c r="Z13" s="198" t="s">
        <v>368</v>
      </c>
      <c r="AC13" s="455" t="s">
        <v>171</v>
      </c>
      <c r="AD13" s="455" t="s">
        <v>360</v>
      </c>
      <c r="AE13" s="455" t="s">
        <v>362</v>
      </c>
      <c r="AF13" s="455" t="s">
        <v>171</v>
      </c>
      <c r="AG13" s="455" t="s">
        <v>360</v>
      </c>
      <c r="AH13" s="455" t="s">
        <v>362</v>
      </c>
      <c r="AJ13" s="455" t="s">
        <v>171</v>
      </c>
      <c r="AK13" s="455" t="s">
        <v>360</v>
      </c>
      <c r="AL13" s="455" t="s">
        <v>362</v>
      </c>
      <c r="AM13" s="455" t="s">
        <v>171</v>
      </c>
      <c r="AN13" s="455" t="s">
        <v>360</v>
      </c>
      <c r="AO13" s="455" t="s">
        <v>362</v>
      </c>
    </row>
    <row r="14" spans="1:41" x14ac:dyDescent="0.2">
      <c r="A14">
        <f ca="1">MATCH(E14,ORÇAMENTO!$E$15:$E$33,0)-1</f>
        <v>1</v>
      </c>
      <c r="B14">
        <f ca="1">IF(ISERROR($A14),NA(),OFFSET(ORÇAMENTO!$D$15,$A14,0))</f>
        <v>17</v>
      </c>
      <c r="C14" t="str">
        <f ca="1">QCI!B14</f>
        <v>Automático</v>
      </c>
      <c r="D14" t="str">
        <f t="shared" ref="D14:D21" ca="1" si="0">IF(L14&gt;0,"F","")</f>
        <v>F</v>
      </c>
      <c r="E14" s="456">
        <f>QCI!D14</f>
        <v>1</v>
      </c>
      <c r="F14" s="457" t="str">
        <f ca="1">QCI!G14</f>
        <v xml:space="preserve">Adequação de Estradas Vicinais  </v>
      </c>
      <c r="G14" s="458" t="str">
        <f>QCI!H14</f>
        <v>Em Análise</v>
      </c>
      <c r="H14" s="459">
        <f>QCI!I14</f>
        <v>3528.02</v>
      </c>
      <c r="I14" s="460" t="str">
        <f ca="1">QCI!J14</f>
        <v>m²</v>
      </c>
      <c r="J14" s="461" t="str">
        <f ca="1">QCI!K14</f>
        <v>LOTE 1</v>
      </c>
      <c r="K14" s="462">
        <f t="shared" ref="K14:K22" ca="1" si="1">IF($C14="Automático",IF(ACOMPANHAMENTO="BM",BM.medicao,PLE.Medicao),IF(ISBLANK($X14),"",$X14))</f>
        <v>1</v>
      </c>
      <c r="L14" s="463">
        <f ca="1">QCI!$O14</f>
        <v>501148.51558840001</v>
      </c>
      <c r="M14" s="465">
        <f t="shared" ref="M14:M21" ca="1" si="2">ROUND(IF(C14="Automático",AE14+AL14,Y14),2)</f>
        <v>0</v>
      </c>
      <c r="N14" s="466">
        <f t="shared" ref="N14:N21" ca="1" si="3">O14-M14</f>
        <v>0</v>
      </c>
      <c r="O14" s="467">
        <f t="shared" ref="O14:O21" ca="1" si="4">ROUND(IF(C14="Automático",AH14+AO14,Z14),2)</f>
        <v>0</v>
      </c>
      <c r="P14" s="468">
        <f t="shared" ref="P14:P21" ca="1" si="5">O14/(L14+10^-12)</f>
        <v>0</v>
      </c>
      <c r="R14" s="464">
        <f ca="1">ROUND(IF($C14="Automático",AC14+AJ14,$Y14*IF(ISERROR(QCI!$AA14/QCI!$O14),0,QCI!$AA14/QCI!$O14)),2)</f>
        <v>0</v>
      </c>
      <c r="S14" s="464">
        <f ca="1">ROUND(IF($C14="Automático",AD14+AK14,$Y14*IF(ISERROR(QCI!$AB14/QCI!$O14),0,QCI!$AB14/QCI!$O14)),2)</f>
        <v>0</v>
      </c>
      <c r="T14" s="464">
        <f ca="1">ROUND(IF($C14="Automático",AF14+AM14,$Z14*IF(ISERROR(QCI!$AA14/QCI!$O14),0,QCI!$AA14/QCI!$O14)),2)</f>
        <v>0</v>
      </c>
      <c r="U14" s="464">
        <f ca="1">ROUND(IF($C14="Automático",AG14+AN14,$Z14*IF(ISERROR(QCI!$AB14/QCI!$O14),0,QCI!$AB14/QCI!$O14)),2)</f>
        <v>0</v>
      </c>
      <c r="V14" s="622">
        <f ca="1">IF(AND($L14&gt;0,$J14&lt;&gt;0,$J14&lt;&gt;"",COUNTIF($J$13:$J14,$J14)=1),OFFSET(V14,-1,0)+1,OFFSET(V14,-1,0))</f>
        <v>1</v>
      </c>
      <c r="X14" s="368"/>
      <c r="Y14" s="369"/>
      <c r="Z14" s="371"/>
      <c r="AC14" s="229">
        <f ca="1">IF(ACOMPANHAMENTO&lt;&gt;"PLE",0,SUMPRODUCT((OFFSET(CÁLCULO!$FN$15:$HL$15,$A14,0,$B14)&lt;=(PLE.Medicao-1))*OFFSET(CÁLCULO!$BP$15:$DN$15,$A14,0,$B14)*OFFSET(ORÇAMENTO!$AA$15,$A14,0,$B14)/(OFFSET(ORÇAMENTO!$X$15,$A14,0,$B14)+10^-12))+IF(AUTOEVENTO="Manual",SUMPRODUCT((OFFSET(CÁLCULO!$M$15,$A14,0,$B14)=1)*OFFSET(ORÇAMENTO!$AA$15,$A14,0,$B14)*(PLE!$AE$9-PLE!$Y$9)),0))</f>
        <v>0</v>
      </c>
      <c r="AD14" s="229">
        <f ca="1">IF(ACOMPANHAMENTO&lt;&gt;"PLE",0,SUMPRODUCT((OFFSET(CÁLCULO!$FN$15:$HL$15,$A14,0,$B14)&lt;=(PLE.Medicao-1))*OFFSET(CÁLCULO!$BP$15:$DN$15,$A14,0,$B14)*OFFSET(ORÇAMENTO!$AB$15,$A14,0,$B14)/(OFFSET(ORÇAMENTO!$X$15,$A14,0,$B14)+10^-12))+IF(AUTOEVENTO="Manual",SUMPRODUCT((OFFSET(CÁLCULO!$M$15,$A14,0,$B14)=1)*OFFSET(ORÇAMENTO!$AB$15,$A14,0,$B14)*(PLE!$AE$9-PLE!$Y$9)),0))</f>
        <v>0</v>
      </c>
      <c r="AE14" s="229">
        <f ca="1">ROUND(IF(ACOMPANHAMENTO&lt;&gt;"PLE",0,SUMIF(OFFSET(CÁLCULO!$FN$15:$HL$15,$A14,0,$B14),"&lt;="&amp;(PLE.Medicao-1),OFFSET(CÁLCULO!$BP$15:$DN$15,$A14,0,$B14))+IF(AUTOEVENTO="Manual",SUMIF(OFFSET(CÁLCULO!$M$15,$A14,0,$B14),1,OFFSET(ORÇAMENTO!$X$15,$A14,0,$B14))*(PLE!$AE$9-PLE!$Y$9),0)),2)</f>
        <v>0</v>
      </c>
      <c r="AF14" s="229">
        <f ca="1">IF(ACOMPANHAMENTO&lt;&gt;"PLE",0,SUMPRODUCT((OFFSET(CÁLCULO!$FN$15:$HL$15,$A14,0,$B14)&lt;=PLE.Medicao)*OFFSET(CÁLCULO!$BP$15:$DN$15,$A14,0,$B14)*OFFSET(ORÇAMENTO!$AA$15,$A14,0,$B14)/(OFFSET(ORÇAMENTO!$X$15,$A14,0,$B14)+10^-12))+IF(AUTOEVENTO="Manual",SUMPRODUCT((OFFSET(CÁLCULO!$M$15,$A14,0,$B14)=1)*OFFSET(ORÇAMENTO!$AA$15,$A14,0,$B14)*PLE!$AE$9),0))</f>
        <v>0</v>
      </c>
      <c r="AG14" s="229">
        <f ca="1">IF(ACOMPANHAMENTO&lt;&gt;"PLE",0,SUMPRODUCT((OFFSET(CÁLCULO!$FN$15:$HL$15,$A14,0,$B14)&lt;=PLE.Medicao)*OFFSET(CÁLCULO!$BP$15:$DN$15,$A14,0,$B14)*OFFSET(ORÇAMENTO!$AB$15,$A14,0,$B14)/(OFFSET(ORÇAMENTO!$X$15,$A14,0,$B14)+10^-12))+IF(AUTOEVENTO="Manual",SUMPRODUCT((OFFSET(CÁLCULO!$M$15,$A14,0,$B14)=1)*OFFSET(ORÇAMENTO!$AB$15,$A14,0,$B14)*PLE!$AE$9),0))</f>
        <v>0</v>
      </c>
      <c r="AH14" s="229">
        <f ca="1">ROUND(IF(ACOMPANHAMENTO&lt;&gt;"PLE",0,SUMIF(OFFSET(CÁLCULO!$FN$15:$HL$15,$A14,0,$B14),"&lt;="&amp;PLE.Medicao,OFFSET(CÁLCULO!$BP$15:$DN$15,$A14,0,$B14))+IF(AUTOEVENTO="Manual",SUMIF(OFFSET(CÁLCULO!$M$15,$A14,0,$B14),1,OFFSET(ORÇAMENTO!$X$15,$A14,0,$B14))*PLE!$AE$9,0)),2)</f>
        <v>0</v>
      </c>
      <c r="AJ14" s="229">
        <f ca="1">IF(ACOMPANHAMENTO&lt;&gt;"BM",0,SUMPRODUCT(OFFSET(BM!$M$15,$A14,0,$B14)*(OFFSET(BM!$A$15,$A14,0,$B14)="S")*OFFSET(ORÇAMENTO!AA$15,$A14,0,$B14)/(OFFSET(ORÇAMENTO!$X$15,$A14,0,$B14)+10^-12)))</f>
        <v>0</v>
      </c>
      <c r="AK14" s="229">
        <f ca="1">IF(ACOMPANHAMENTO&lt;&gt;"BM",0,SUMPRODUCT(OFFSET(BM!$M$15,$A14,0,$B14)*(OFFSET(BM!$A$15,$A14,0,$B14)="S")*OFFSET(ORÇAMENTO!AB$15,$A14,0,$B14)/(OFFSET(ORÇAMENTO!$X$15,$A14,0,$B14)+10^-12)))</f>
        <v>0</v>
      </c>
      <c r="AL14" s="229">
        <f ca="1">IF(ACOMPANHAMENTO&lt;&gt;"BM",0,OFFSET(BM!$M$15,$A14,0))</f>
        <v>0</v>
      </c>
      <c r="AM14" s="229">
        <f ca="1">IF(ACOMPANHAMENTO&lt;&gt;"BM",0,SUMPRODUCT(OFFSET(BM!$O$15,$A14,0,$B14)*(OFFSET(BM!$A$15,$A14,0,$B14)="S")*OFFSET(ORÇAMENTO!AA$15,$A14,0,$B14)/(OFFSET(ORÇAMENTO!$X$15,$A14,0,$B14)+10^-12)))</f>
        <v>0</v>
      </c>
      <c r="AN14" s="229">
        <f ca="1">IF(ACOMPANHAMENTO&lt;&gt;"BM",0,SUMPRODUCT(OFFSET(BM!$O$15,$A14,0,$B14)*(OFFSET(BM!$A$15,$A14,0,$B14)="S")*OFFSET(ORÇAMENTO!AB$15,$A14,0,$B14)/(OFFSET(ORÇAMENTO!$X$15,$A14,0,$B14)+10^-12)))</f>
        <v>0</v>
      </c>
      <c r="AO14" s="229">
        <f ca="1">IF(ACOMPANHAMENTO&lt;&gt;"BM",0,OFFSET(BM!$O$15,$A14,0))</f>
        <v>0</v>
      </c>
    </row>
    <row r="15" spans="1:41" x14ac:dyDescent="0.2">
      <c r="A15" t="e">
        <f ca="1">MATCH(E15,ORÇAMENTO!$E$15:$E$33,0)-1</f>
        <v>#N/A</v>
      </c>
      <c r="B15" t="e">
        <f ca="1">IF(ISERROR($A15),NA(),OFFSET(ORÇAMENTO!$D$15,$A15,0))</f>
        <v>#N/A</v>
      </c>
      <c r="C15" t="str">
        <f ca="1">QCI!B15</f>
        <v>Branco</v>
      </c>
      <c r="D15" t="str">
        <f t="shared" ca="1" si="0"/>
        <v/>
      </c>
      <c r="E15" s="456">
        <f>QCI!D15</f>
        <v>2</v>
      </c>
      <c r="F15" s="457" t="str">
        <f ca="1">QCI!G15</f>
        <v/>
      </c>
      <c r="G15" s="458">
        <f>QCI!H15</f>
        <v>0</v>
      </c>
      <c r="H15" s="459">
        <f>QCI!I15</f>
        <v>0</v>
      </c>
      <c r="I15" s="460" t="str">
        <f ca="1">QCI!J15</f>
        <v/>
      </c>
      <c r="J15" s="461" t="str">
        <f ca="1">QCI!K15</f>
        <v/>
      </c>
      <c r="K15" s="462" t="str">
        <f t="shared" ca="1" si="1"/>
        <v/>
      </c>
      <c r="L15" s="463">
        <f ca="1">QCI!$O15</f>
        <v>0</v>
      </c>
      <c r="M15" s="465">
        <f t="shared" ca="1" si="2"/>
        <v>0</v>
      </c>
      <c r="N15" s="466">
        <f t="shared" ca="1" si="3"/>
        <v>0</v>
      </c>
      <c r="O15" s="467">
        <f t="shared" ca="1" si="4"/>
        <v>0</v>
      </c>
      <c r="P15" s="468">
        <f t="shared" ca="1" si="5"/>
        <v>0</v>
      </c>
      <c r="R15" s="464">
        <f ca="1">ROUND(IF($C15="Automático",AC15+AJ15,$Y15*IF(ISERROR(QCI!$AA15/QCI!$O15),0,QCI!$AA15/QCI!$O15)),2)</f>
        <v>0</v>
      </c>
      <c r="S15" s="464">
        <f ca="1">ROUND(IF($C15="Automático",AD15+AK15,$Y15*IF(ISERROR(QCI!$AB15/QCI!$O15),0,QCI!$AB15/QCI!$O15)),2)</f>
        <v>0</v>
      </c>
      <c r="T15" s="464">
        <f ca="1">ROUND(IF($C15="Automático",AF15+AM15,$Z15*IF(ISERROR(QCI!$AA15/QCI!$O15),0,QCI!$AA15/QCI!$O15)),2)</f>
        <v>0</v>
      </c>
      <c r="U15" s="464">
        <f ca="1">ROUND(IF($C15="Automático",AG15+AN15,$Z15*IF(ISERROR(QCI!$AB15/QCI!$O15),0,QCI!$AB15/QCI!$O15)),2)</f>
        <v>0</v>
      </c>
      <c r="V15" s="622">
        <f ca="1">IF(AND($L15&gt;0,$J15&lt;&gt;0,$J15&lt;&gt;"",COUNTIF($J$13:$J15,$J15)=1),OFFSET(V15,-1,0)+1,OFFSET(V15,-1,0))</f>
        <v>1</v>
      </c>
      <c r="X15" s="368"/>
      <c r="Y15" s="369"/>
      <c r="Z15" s="371"/>
      <c r="AC15" s="229" t="e">
        <f ca="1">IF(ACOMPANHAMENTO&lt;&gt;"PLE",0,SUMPRODUCT((OFFSET(CÁLCULO!$FN$15:$HL$15,$A15,0,$B15)&lt;=(PLE.Medicao-1))*OFFSET(CÁLCULO!$BP$15:$DN$15,$A15,0,$B15)*OFFSET(ORÇAMENTO!$AA$15,$A15,0,$B15)/(OFFSET(ORÇAMENTO!$X$15,$A15,0,$B15)+10^-12))+IF(AUTOEVENTO="Manual",SUMPRODUCT((OFFSET(CÁLCULO!$M$15,$A15,0,$B15)=1)*OFFSET(ORÇAMENTO!$AA$15,$A15,0,$B15)*(PLE!$AE$9-PLE!$Y$9)),0))</f>
        <v>#N/A</v>
      </c>
      <c r="AD15" s="229" t="e">
        <f ca="1">IF(ACOMPANHAMENTO&lt;&gt;"PLE",0,SUMPRODUCT((OFFSET(CÁLCULO!$FN$15:$HL$15,$A15,0,$B15)&lt;=(PLE.Medicao-1))*OFFSET(CÁLCULO!$BP$15:$DN$15,$A15,0,$B15)*OFFSET(ORÇAMENTO!$AB$15,$A15,0,$B15)/(OFFSET(ORÇAMENTO!$X$15,$A15,0,$B15)+10^-12))+IF(AUTOEVENTO="Manual",SUMPRODUCT((OFFSET(CÁLCULO!$M$15,$A15,0,$B15)=1)*OFFSET(ORÇAMENTO!$AB$15,$A15,0,$B15)*(PLE!$AE$9-PLE!$Y$9)),0))</f>
        <v>#N/A</v>
      </c>
      <c r="AE15" s="229" t="e">
        <f ca="1">ROUND(IF(ACOMPANHAMENTO&lt;&gt;"PLE",0,SUMIF(OFFSET(CÁLCULO!$FN$15:$HL$15,$A15,0,$B15),"&lt;="&amp;(PLE.Medicao-1),OFFSET(CÁLCULO!$BP$15:$DN$15,$A15,0,$B15))+IF(AUTOEVENTO="Manual",SUMIF(OFFSET(CÁLCULO!$M$15,$A15,0,$B15),1,OFFSET(ORÇAMENTO!$X$15,$A15,0,$B15))*(PLE!$AE$9-PLE!$Y$9),0)),2)</f>
        <v>#N/A</v>
      </c>
      <c r="AF15" s="229" t="e">
        <f ca="1">IF(ACOMPANHAMENTO&lt;&gt;"PLE",0,SUMPRODUCT((OFFSET(CÁLCULO!$FN$15:$HL$15,$A15,0,$B15)&lt;=PLE.Medicao)*OFFSET(CÁLCULO!$BP$15:$DN$15,$A15,0,$B15)*OFFSET(ORÇAMENTO!$AA$15,$A15,0,$B15)/(OFFSET(ORÇAMENTO!$X$15,$A15,0,$B15)+10^-12))+IF(AUTOEVENTO="Manual",SUMPRODUCT((OFFSET(CÁLCULO!$M$15,$A15,0,$B15)=1)*OFFSET(ORÇAMENTO!$AA$15,$A15,0,$B15)*PLE!$AE$9),0))</f>
        <v>#N/A</v>
      </c>
      <c r="AG15" s="229" t="e">
        <f ca="1">IF(ACOMPANHAMENTO&lt;&gt;"PLE",0,SUMPRODUCT((OFFSET(CÁLCULO!$FN$15:$HL$15,$A15,0,$B15)&lt;=PLE.Medicao)*OFFSET(CÁLCULO!$BP$15:$DN$15,$A15,0,$B15)*OFFSET(ORÇAMENTO!$AB$15,$A15,0,$B15)/(OFFSET(ORÇAMENTO!$X$15,$A15,0,$B15)+10^-12))+IF(AUTOEVENTO="Manual",SUMPRODUCT((OFFSET(CÁLCULO!$M$15,$A15,0,$B15)=1)*OFFSET(ORÇAMENTO!$AB$15,$A15,0,$B15)*PLE!$AE$9),0))</f>
        <v>#N/A</v>
      </c>
      <c r="AH15" s="229" t="e">
        <f ca="1">ROUND(IF(ACOMPANHAMENTO&lt;&gt;"PLE",0,SUMIF(OFFSET(CÁLCULO!$FN$15:$HL$15,$A15,0,$B15),"&lt;="&amp;PLE.Medicao,OFFSET(CÁLCULO!$BP$15:$DN$15,$A15,0,$B15))+IF(AUTOEVENTO="Manual",SUMIF(OFFSET(CÁLCULO!$M$15,$A15,0,$B15),1,OFFSET(ORÇAMENTO!$X$15,$A15,0,$B15))*PLE!$AE$9,0)),2)</f>
        <v>#N/A</v>
      </c>
      <c r="AJ15" s="229">
        <f ca="1">IF(ACOMPANHAMENTO&lt;&gt;"BM",0,SUMPRODUCT(OFFSET(BM!$M$15,$A15,0,$B15)*(OFFSET(BM!$A$15,$A15,0,$B15)="S")*OFFSET(ORÇAMENTO!AA$15,$A15,0,$B15)/(OFFSET(ORÇAMENTO!$X$15,$A15,0,$B15)+10^-12)))</f>
        <v>0</v>
      </c>
      <c r="AK15" s="229">
        <f ca="1">IF(ACOMPANHAMENTO&lt;&gt;"BM",0,SUMPRODUCT(OFFSET(BM!$M$15,$A15,0,$B15)*(OFFSET(BM!$A$15,$A15,0,$B15)="S")*OFFSET(ORÇAMENTO!AB$15,$A15,0,$B15)/(OFFSET(ORÇAMENTO!$X$15,$A15,0,$B15)+10^-12)))</f>
        <v>0</v>
      </c>
      <c r="AL15" s="229">
        <f ca="1">IF(ACOMPANHAMENTO&lt;&gt;"BM",0,OFFSET(BM!$M$15,$A15,0))</f>
        <v>0</v>
      </c>
      <c r="AM15" s="229">
        <f ca="1">IF(ACOMPANHAMENTO&lt;&gt;"BM",0,SUMPRODUCT(OFFSET(BM!$O$15,$A15,0,$B15)*(OFFSET(BM!$A$15,$A15,0,$B15)="S")*OFFSET(ORÇAMENTO!AA$15,$A15,0,$B15)/(OFFSET(ORÇAMENTO!$X$15,$A15,0,$B15)+10^-12)))</f>
        <v>0</v>
      </c>
      <c r="AN15" s="229">
        <f ca="1">IF(ACOMPANHAMENTO&lt;&gt;"BM",0,SUMPRODUCT(OFFSET(BM!$O$15,$A15,0,$B15)*(OFFSET(BM!$A$15,$A15,0,$B15)="S")*OFFSET(ORÇAMENTO!AB$15,$A15,0,$B15)/(OFFSET(ORÇAMENTO!$X$15,$A15,0,$B15)+10^-12)))</f>
        <v>0</v>
      </c>
      <c r="AO15" s="229">
        <f ca="1">IF(ACOMPANHAMENTO&lt;&gt;"BM",0,OFFSET(BM!$O$15,$A15,0))</f>
        <v>0</v>
      </c>
    </row>
    <row r="16" spans="1:41" x14ac:dyDescent="0.2">
      <c r="A16" t="e">
        <f ca="1">MATCH(E16,ORÇAMENTO!$E$15:$E$33,0)-1</f>
        <v>#N/A</v>
      </c>
      <c r="B16" t="e">
        <f ca="1">IF(ISERROR($A16),NA(),OFFSET(ORÇAMENTO!$D$15,$A16,0))</f>
        <v>#N/A</v>
      </c>
      <c r="C16" t="str">
        <f ca="1">QCI!B16</f>
        <v>Branco</v>
      </c>
      <c r="D16" t="str">
        <f t="shared" ca="1" si="0"/>
        <v/>
      </c>
      <c r="E16" s="456">
        <f>QCI!D16</f>
        <v>3</v>
      </c>
      <c r="F16" s="457" t="str">
        <f ca="1">QCI!G16</f>
        <v/>
      </c>
      <c r="G16" s="458">
        <f>QCI!H16</f>
        <v>0</v>
      </c>
      <c r="H16" s="459">
        <f>QCI!I16</f>
        <v>0</v>
      </c>
      <c r="I16" s="460" t="str">
        <f ca="1">QCI!J16</f>
        <v/>
      </c>
      <c r="J16" s="461" t="str">
        <f ca="1">QCI!K16</f>
        <v/>
      </c>
      <c r="K16" s="462" t="str">
        <f t="shared" ca="1" si="1"/>
        <v/>
      </c>
      <c r="L16" s="463">
        <f ca="1">QCI!$O16</f>
        <v>0</v>
      </c>
      <c r="M16" s="465">
        <f t="shared" ca="1" si="2"/>
        <v>0</v>
      </c>
      <c r="N16" s="466">
        <f t="shared" ca="1" si="3"/>
        <v>0</v>
      </c>
      <c r="O16" s="467">
        <f t="shared" ca="1" si="4"/>
        <v>0</v>
      </c>
      <c r="P16" s="468">
        <f t="shared" ca="1" si="5"/>
        <v>0</v>
      </c>
      <c r="R16" s="464">
        <f ca="1">ROUND(IF($C16="Automático",AC16+AJ16,$Y16*IF(ISERROR(QCI!$AA16/QCI!$O16),0,QCI!$AA16/QCI!$O16)),2)</f>
        <v>0</v>
      </c>
      <c r="S16" s="464">
        <f ca="1">ROUND(IF($C16="Automático",AD16+AK16,$Y16*IF(ISERROR(QCI!$AB16/QCI!$O16),0,QCI!$AB16/QCI!$O16)),2)</f>
        <v>0</v>
      </c>
      <c r="T16" s="464">
        <f ca="1">ROUND(IF($C16="Automático",AF16+AM16,$Z16*IF(ISERROR(QCI!$AA16/QCI!$O16),0,QCI!$AA16/QCI!$O16)),2)</f>
        <v>0</v>
      </c>
      <c r="U16" s="464">
        <f ca="1">ROUND(IF($C16="Automático",AG16+AN16,$Z16*IF(ISERROR(QCI!$AB16/QCI!$O16),0,QCI!$AB16/QCI!$O16)),2)</f>
        <v>0</v>
      </c>
      <c r="V16" s="622">
        <f ca="1">IF(AND($L16&gt;0,$J16&lt;&gt;0,$J16&lt;&gt;"",COUNTIF($J$13:$J16,$J16)=1),OFFSET(V16,-1,0)+1,OFFSET(V16,-1,0))</f>
        <v>1</v>
      </c>
      <c r="X16" s="368"/>
      <c r="Y16" s="369"/>
      <c r="Z16" s="371"/>
      <c r="AC16" s="229" t="e">
        <f ca="1">IF(ACOMPANHAMENTO&lt;&gt;"PLE",0,SUMPRODUCT((OFFSET(CÁLCULO!$FN$15:$HL$15,$A16,0,$B16)&lt;=(PLE.Medicao-1))*OFFSET(CÁLCULO!$BP$15:$DN$15,$A16,0,$B16)*OFFSET(ORÇAMENTO!$AA$15,$A16,0,$B16)/(OFFSET(ORÇAMENTO!$X$15,$A16,0,$B16)+10^-12))+IF(AUTOEVENTO="Manual",SUMPRODUCT((OFFSET(CÁLCULO!$M$15,$A16,0,$B16)=1)*OFFSET(ORÇAMENTO!$AA$15,$A16,0,$B16)*(PLE!$AE$9-PLE!$Y$9)),0))</f>
        <v>#N/A</v>
      </c>
      <c r="AD16" s="229" t="e">
        <f ca="1">IF(ACOMPANHAMENTO&lt;&gt;"PLE",0,SUMPRODUCT((OFFSET(CÁLCULO!$FN$15:$HL$15,$A16,0,$B16)&lt;=(PLE.Medicao-1))*OFFSET(CÁLCULO!$BP$15:$DN$15,$A16,0,$B16)*OFFSET(ORÇAMENTO!$AB$15,$A16,0,$B16)/(OFFSET(ORÇAMENTO!$X$15,$A16,0,$B16)+10^-12))+IF(AUTOEVENTO="Manual",SUMPRODUCT((OFFSET(CÁLCULO!$M$15,$A16,0,$B16)=1)*OFFSET(ORÇAMENTO!$AB$15,$A16,0,$B16)*(PLE!$AE$9-PLE!$Y$9)),0))</f>
        <v>#N/A</v>
      </c>
      <c r="AE16" s="229" t="e">
        <f ca="1">ROUND(IF(ACOMPANHAMENTO&lt;&gt;"PLE",0,SUMIF(OFFSET(CÁLCULO!$FN$15:$HL$15,$A16,0,$B16),"&lt;="&amp;(PLE.Medicao-1),OFFSET(CÁLCULO!$BP$15:$DN$15,$A16,0,$B16))+IF(AUTOEVENTO="Manual",SUMIF(OFFSET(CÁLCULO!$M$15,$A16,0,$B16),1,OFFSET(ORÇAMENTO!$X$15,$A16,0,$B16))*(PLE!$AE$9-PLE!$Y$9),0)),2)</f>
        <v>#N/A</v>
      </c>
      <c r="AF16" s="229" t="e">
        <f ca="1">IF(ACOMPANHAMENTO&lt;&gt;"PLE",0,SUMPRODUCT((OFFSET(CÁLCULO!$FN$15:$HL$15,$A16,0,$B16)&lt;=PLE.Medicao)*OFFSET(CÁLCULO!$BP$15:$DN$15,$A16,0,$B16)*OFFSET(ORÇAMENTO!$AA$15,$A16,0,$B16)/(OFFSET(ORÇAMENTO!$X$15,$A16,0,$B16)+10^-12))+IF(AUTOEVENTO="Manual",SUMPRODUCT((OFFSET(CÁLCULO!$M$15,$A16,0,$B16)=1)*OFFSET(ORÇAMENTO!$AA$15,$A16,0,$B16)*PLE!$AE$9),0))</f>
        <v>#N/A</v>
      </c>
      <c r="AG16" s="229" t="e">
        <f ca="1">IF(ACOMPANHAMENTO&lt;&gt;"PLE",0,SUMPRODUCT((OFFSET(CÁLCULO!$FN$15:$HL$15,$A16,0,$B16)&lt;=PLE.Medicao)*OFFSET(CÁLCULO!$BP$15:$DN$15,$A16,0,$B16)*OFFSET(ORÇAMENTO!$AB$15,$A16,0,$B16)/(OFFSET(ORÇAMENTO!$X$15,$A16,0,$B16)+10^-12))+IF(AUTOEVENTO="Manual",SUMPRODUCT((OFFSET(CÁLCULO!$M$15,$A16,0,$B16)=1)*OFFSET(ORÇAMENTO!$AB$15,$A16,0,$B16)*PLE!$AE$9),0))</f>
        <v>#N/A</v>
      </c>
      <c r="AH16" s="229" t="e">
        <f ca="1">ROUND(IF(ACOMPANHAMENTO&lt;&gt;"PLE",0,SUMIF(OFFSET(CÁLCULO!$FN$15:$HL$15,$A16,0,$B16),"&lt;="&amp;PLE.Medicao,OFFSET(CÁLCULO!$BP$15:$DN$15,$A16,0,$B16))+IF(AUTOEVENTO="Manual",SUMIF(OFFSET(CÁLCULO!$M$15,$A16,0,$B16),1,OFFSET(ORÇAMENTO!$X$15,$A16,0,$B16))*PLE!$AE$9,0)),2)</f>
        <v>#N/A</v>
      </c>
      <c r="AJ16" s="229">
        <f ca="1">IF(ACOMPANHAMENTO&lt;&gt;"BM",0,SUMPRODUCT(OFFSET(BM!$M$15,$A16,0,$B16)*(OFFSET(BM!$A$15,$A16,0,$B16)="S")*OFFSET(ORÇAMENTO!AA$15,$A16,0,$B16)/(OFFSET(ORÇAMENTO!$X$15,$A16,0,$B16)+10^-12)))</f>
        <v>0</v>
      </c>
      <c r="AK16" s="229">
        <f ca="1">IF(ACOMPANHAMENTO&lt;&gt;"BM",0,SUMPRODUCT(OFFSET(BM!$M$15,$A16,0,$B16)*(OFFSET(BM!$A$15,$A16,0,$B16)="S")*OFFSET(ORÇAMENTO!AB$15,$A16,0,$B16)/(OFFSET(ORÇAMENTO!$X$15,$A16,0,$B16)+10^-12)))</f>
        <v>0</v>
      </c>
      <c r="AL16" s="229">
        <f ca="1">IF(ACOMPANHAMENTO&lt;&gt;"BM",0,OFFSET(BM!$M$15,$A16,0))</f>
        <v>0</v>
      </c>
      <c r="AM16" s="229">
        <f ca="1">IF(ACOMPANHAMENTO&lt;&gt;"BM",0,SUMPRODUCT(OFFSET(BM!$O$15,$A16,0,$B16)*(OFFSET(BM!$A$15,$A16,0,$B16)="S")*OFFSET(ORÇAMENTO!AA$15,$A16,0,$B16)/(OFFSET(ORÇAMENTO!$X$15,$A16,0,$B16)+10^-12)))</f>
        <v>0</v>
      </c>
      <c r="AN16" s="229">
        <f ca="1">IF(ACOMPANHAMENTO&lt;&gt;"BM",0,SUMPRODUCT(OFFSET(BM!$O$15,$A16,0,$B16)*(OFFSET(BM!$A$15,$A16,0,$B16)="S")*OFFSET(ORÇAMENTO!AB$15,$A16,0,$B16)/(OFFSET(ORÇAMENTO!$X$15,$A16,0,$B16)+10^-12)))</f>
        <v>0</v>
      </c>
      <c r="AO16" s="229">
        <f ca="1">IF(ACOMPANHAMENTO&lt;&gt;"BM",0,OFFSET(BM!$O$15,$A16,0))</f>
        <v>0</v>
      </c>
    </row>
    <row r="17" spans="1:41" x14ac:dyDescent="0.2">
      <c r="A17" t="e">
        <f ca="1">MATCH(E17,ORÇAMENTO!$E$15:$E$33,0)-1</f>
        <v>#N/A</v>
      </c>
      <c r="B17" t="e">
        <f ca="1">IF(ISERROR($A17),NA(),OFFSET(ORÇAMENTO!$D$15,$A17,0))</f>
        <v>#N/A</v>
      </c>
      <c r="C17" t="str">
        <f ca="1">QCI!B17</f>
        <v>Branco</v>
      </c>
      <c r="D17" t="str">
        <f t="shared" ca="1" si="0"/>
        <v/>
      </c>
      <c r="E17" s="456">
        <f>QCI!D17</f>
        <v>4</v>
      </c>
      <c r="F17" s="457" t="str">
        <f ca="1">QCI!G17</f>
        <v/>
      </c>
      <c r="G17" s="458">
        <f>QCI!H17</f>
        <v>0</v>
      </c>
      <c r="H17" s="459">
        <f>QCI!I17</f>
        <v>0</v>
      </c>
      <c r="I17" s="460" t="str">
        <f ca="1">QCI!J17</f>
        <v/>
      </c>
      <c r="J17" s="461" t="str">
        <f ca="1">QCI!K17</f>
        <v/>
      </c>
      <c r="K17" s="462" t="str">
        <f t="shared" ca="1" si="1"/>
        <v/>
      </c>
      <c r="L17" s="463">
        <f ca="1">QCI!$O17</f>
        <v>0</v>
      </c>
      <c r="M17" s="465">
        <f t="shared" ca="1" si="2"/>
        <v>0</v>
      </c>
      <c r="N17" s="466">
        <f t="shared" ca="1" si="3"/>
        <v>0</v>
      </c>
      <c r="O17" s="467">
        <f t="shared" ca="1" si="4"/>
        <v>0</v>
      </c>
      <c r="P17" s="468">
        <f t="shared" ca="1" si="5"/>
        <v>0</v>
      </c>
      <c r="R17" s="464">
        <f ca="1">ROUND(IF($C17="Automático",AC17+AJ17,$Y17*IF(ISERROR(QCI!$AA17/QCI!$O17),0,QCI!$AA17/QCI!$O17)),2)</f>
        <v>0</v>
      </c>
      <c r="S17" s="464">
        <f ca="1">ROUND(IF($C17="Automático",AD17+AK17,$Y17*IF(ISERROR(QCI!$AB17/QCI!$O17),0,QCI!$AB17/QCI!$O17)),2)</f>
        <v>0</v>
      </c>
      <c r="T17" s="464">
        <f ca="1">ROUND(IF($C17="Automático",AF17+AM17,$Z17*IF(ISERROR(QCI!$AA17/QCI!$O17),0,QCI!$AA17/QCI!$O17)),2)</f>
        <v>0</v>
      </c>
      <c r="U17" s="464">
        <f ca="1">ROUND(IF($C17="Automático",AG17+AN17,$Z17*IF(ISERROR(QCI!$AB17/QCI!$O17),0,QCI!$AB17/QCI!$O17)),2)</f>
        <v>0</v>
      </c>
      <c r="V17" s="622">
        <f ca="1">IF(AND($L17&gt;0,$J17&lt;&gt;0,$J17&lt;&gt;"",COUNTIF($J$13:$J17,$J17)=1),OFFSET(V17,-1,0)+1,OFFSET(V17,-1,0))</f>
        <v>1</v>
      </c>
      <c r="X17" s="368"/>
      <c r="Y17" s="369"/>
      <c r="Z17" s="371"/>
      <c r="AC17" s="229" t="e">
        <f ca="1">IF(ACOMPANHAMENTO&lt;&gt;"PLE",0,SUMPRODUCT((OFFSET(CÁLCULO!$FN$15:$HL$15,$A17,0,$B17)&lt;=(PLE.Medicao-1))*OFFSET(CÁLCULO!$BP$15:$DN$15,$A17,0,$B17)*OFFSET(ORÇAMENTO!$AA$15,$A17,0,$B17)/(OFFSET(ORÇAMENTO!$X$15,$A17,0,$B17)+10^-12))+IF(AUTOEVENTO="Manual",SUMPRODUCT((OFFSET(CÁLCULO!$M$15,$A17,0,$B17)=1)*OFFSET(ORÇAMENTO!$AA$15,$A17,0,$B17)*(PLE!$AE$9-PLE!$Y$9)),0))</f>
        <v>#N/A</v>
      </c>
      <c r="AD17" s="229" t="e">
        <f ca="1">IF(ACOMPANHAMENTO&lt;&gt;"PLE",0,SUMPRODUCT((OFFSET(CÁLCULO!$FN$15:$HL$15,$A17,0,$B17)&lt;=(PLE.Medicao-1))*OFFSET(CÁLCULO!$BP$15:$DN$15,$A17,0,$B17)*OFFSET(ORÇAMENTO!$AB$15,$A17,0,$B17)/(OFFSET(ORÇAMENTO!$X$15,$A17,0,$B17)+10^-12))+IF(AUTOEVENTO="Manual",SUMPRODUCT((OFFSET(CÁLCULO!$M$15,$A17,0,$B17)=1)*OFFSET(ORÇAMENTO!$AB$15,$A17,0,$B17)*(PLE!$AE$9-PLE!$Y$9)),0))</f>
        <v>#N/A</v>
      </c>
      <c r="AE17" s="229" t="e">
        <f ca="1">ROUND(IF(ACOMPANHAMENTO&lt;&gt;"PLE",0,SUMIF(OFFSET(CÁLCULO!$FN$15:$HL$15,$A17,0,$B17),"&lt;="&amp;(PLE.Medicao-1),OFFSET(CÁLCULO!$BP$15:$DN$15,$A17,0,$B17))+IF(AUTOEVENTO="Manual",SUMIF(OFFSET(CÁLCULO!$M$15,$A17,0,$B17),1,OFFSET(ORÇAMENTO!$X$15,$A17,0,$B17))*(PLE!$AE$9-PLE!$Y$9),0)),2)</f>
        <v>#N/A</v>
      </c>
      <c r="AF17" s="229" t="e">
        <f ca="1">IF(ACOMPANHAMENTO&lt;&gt;"PLE",0,SUMPRODUCT((OFFSET(CÁLCULO!$FN$15:$HL$15,$A17,0,$B17)&lt;=PLE.Medicao)*OFFSET(CÁLCULO!$BP$15:$DN$15,$A17,0,$B17)*OFFSET(ORÇAMENTO!$AA$15,$A17,0,$B17)/(OFFSET(ORÇAMENTO!$X$15,$A17,0,$B17)+10^-12))+IF(AUTOEVENTO="Manual",SUMPRODUCT((OFFSET(CÁLCULO!$M$15,$A17,0,$B17)=1)*OFFSET(ORÇAMENTO!$AA$15,$A17,0,$B17)*PLE!$AE$9),0))</f>
        <v>#N/A</v>
      </c>
      <c r="AG17" s="229" t="e">
        <f ca="1">IF(ACOMPANHAMENTO&lt;&gt;"PLE",0,SUMPRODUCT((OFFSET(CÁLCULO!$FN$15:$HL$15,$A17,0,$B17)&lt;=PLE.Medicao)*OFFSET(CÁLCULO!$BP$15:$DN$15,$A17,0,$B17)*OFFSET(ORÇAMENTO!$AB$15,$A17,0,$B17)/(OFFSET(ORÇAMENTO!$X$15,$A17,0,$B17)+10^-12))+IF(AUTOEVENTO="Manual",SUMPRODUCT((OFFSET(CÁLCULO!$M$15,$A17,0,$B17)=1)*OFFSET(ORÇAMENTO!$AB$15,$A17,0,$B17)*PLE!$AE$9),0))</f>
        <v>#N/A</v>
      </c>
      <c r="AH17" s="229" t="e">
        <f ca="1">ROUND(IF(ACOMPANHAMENTO&lt;&gt;"PLE",0,SUMIF(OFFSET(CÁLCULO!$FN$15:$HL$15,$A17,0,$B17),"&lt;="&amp;PLE.Medicao,OFFSET(CÁLCULO!$BP$15:$DN$15,$A17,0,$B17))+IF(AUTOEVENTO="Manual",SUMIF(OFFSET(CÁLCULO!$M$15,$A17,0,$B17),1,OFFSET(ORÇAMENTO!$X$15,$A17,0,$B17))*PLE!$AE$9,0)),2)</f>
        <v>#N/A</v>
      </c>
      <c r="AJ17" s="229">
        <f ca="1">IF(ACOMPANHAMENTO&lt;&gt;"BM",0,SUMPRODUCT(OFFSET(BM!$M$15,$A17,0,$B17)*(OFFSET(BM!$A$15,$A17,0,$B17)="S")*OFFSET(ORÇAMENTO!AA$15,$A17,0,$B17)/(OFFSET(ORÇAMENTO!$X$15,$A17,0,$B17)+10^-12)))</f>
        <v>0</v>
      </c>
      <c r="AK17" s="229">
        <f ca="1">IF(ACOMPANHAMENTO&lt;&gt;"BM",0,SUMPRODUCT(OFFSET(BM!$M$15,$A17,0,$B17)*(OFFSET(BM!$A$15,$A17,0,$B17)="S")*OFFSET(ORÇAMENTO!AB$15,$A17,0,$B17)/(OFFSET(ORÇAMENTO!$X$15,$A17,0,$B17)+10^-12)))</f>
        <v>0</v>
      </c>
      <c r="AL17" s="229">
        <f ca="1">IF(ACOMPANHAMENTO&lt;&gt;"BM",0,OFFSET(BM!$M$15,$A17,0))</f>
        <v>0</v>
      </c>
      <c r="AM17" s="229">
        <f ca="1">IF(ACOMPANHAMENTO&lt;&gt;"BM",0,SUMPRODUCT(OFFSET(BM!$O$15,$A17,0,$B17)*(OFFSET(BM!$A$15,$A17,0,$B17)="S")*OFFSET(ORÇAMENTO!AA$15,$A17,0,$B17)/(OFFSET(ORÇAMENTO!$X$15,$A17,0,$B17)+10^-12)))</f>
        <v>0</v>
      </c>
      <c r="AN17" s="229">
        <f ca="1">IF(ACOMPANHAMENTO&lt;&gt;"BM",0,SUMPRODUCT(OFFSET(BM!$O$15,$A17,0,$B17)*(OFFSET(BM!$A$15,$A17,0,$B17)="S")*OFFSET(ORÇAMENTO!AB$15,$A17,0,$B17)/(OFFSET(ORÇAMENTO!$X$15,$A17,0,$B17)+10^-12)))</f>
        <v>0</v>
      </c>
      <c r="AO17" s="229">
        <f ca="1">IF(ACOMPANHAMENTO&lt;&gt;"BM",0,OFFSET(BM!$O$15,$A17,0))</f>
        <v>0</v>
      </c>
    </row>
    <row r="18" spans="1:41" x14ac:dyDescent="0.2">
      <c r="A18" t="e">
        <f ca="1">MATCH(E18,ORÇAMENTO!$E$15:$E$33,0)-1</f>
        <v>#N/A</v>
      </c>
      <c r="B18" t="e">
        <f ca="1">IF(ISERROR($A18),NA(),OFFSET(ORÇAMENTO!$D$15,$A18,0))</f>
        <v>#N/A</v>
      </c>
      <c r="C18" t="str">
        <f ca="1">QCI!B18</f>
        <v>Branco</v>
      </c>
      <c r="D18" t="str">
        <f t="shared" ca="1" si="0"/>
        <v/>
      </c>
      <c r="E18" s="456">
        <f>QCI!D18</f>
        <v>5</v>
      </c>
      <c r="F18" s="457" t="str">
        <f ca="1">QCI!G18</f>
        <v/>
      </c>
      <c r="G18" s="458">
        <f>QCI!H18</f>
        <v>0</v>
      </c>
      <c r="H18" s="459">
        <f>QCI!I18</f>
        <v>0</v>
      </c>
      <c r="I18" s="460" t="str">
        <f ca="1">QCI!J18</f>
        <v/>
      </c>
      <c r="J18" s="461" t="str">
        <f ca="1">QCI!K18</f>
        <v/>
      </c>
      <c r="K18" s="462" t="str">
        <f t="shared" ca="1" si="1"/>
        <v/>
      </c>
      <c r="L18" s="463">
        <f ca="1">QCI!$O18</f>
        <v>0</v>
      </c>
      <c r="M18" s="465">
        <f t="shared" ca="1" si="2"/>
        <v>0</v>
      </c>
      <c r="N18" s="466">
        <f t="shared" ca="1" si="3"/>
        <v>0</v>
      </c>
      <c r="O18" s="467">
        <f t="shared" ca="1" si="4"/>
        <v>0</v>
      </c>
      <c r="P18" s="468">
        <f t="shared" ca="1" si="5"/>
        <v>0</v>
      </c>
      <c r="R18" s="464">
        <f ca="1">ROUND(IF($C18="Automático",AC18+AJ18,$Y18*IF(ISERROR(QCI!$AA18/QCI!$O18),0,QCI!$AA18/QCI!$O18)),2)</f>
        <v>0</v>
      </c>
      <c r="S18" s="464">
        <f ca="1">ROUND(IF($C18="Automático",AD18+AK18,$Y18*IF(ISERROR(QCI!$AB18/QCI!$O18),0,QCI!$AB18/QCI!$O18)),2)</f>
        <v>0</v>
      </c>
      <c r="T18" s="464">
        <f ca="1">ROUND(IF($C18="Automático",AF18+AM18,$Z18*IF(ISERROR(QCI!$AA18/QCI!$O18),0,QCI!$AA18/QCI!$O18)),2)</f>
        <v>0</v>
      </c>
      <c r="U18" s="464">
        <f ca="1">ROUND(IF($C18="Automático",AG18+AN18,$Z18*IF(ISERROR(QCI!$AB18/QCI!$O18),0,QCI!$AB18/QCI!$O18)),2)</f>
        <v>0</v>
      </c>
      <c r="V18" s="622">
        <f ca="1">IF(AND($L18&gt;0,$J18&lt;&gt;0,$J18&lt;&gt;"",COUNTIF($J$13:$J18,$J18)=1),OFFSET(V18,-1,0)+1,OFFSET(V18,-1,0))</f>
        <v>1</v>
      </c>
      <c r="X18" s="368"/>
      <c r="Y18" s="369"/>
      <c r="Z18" s="371"/>
      <c r="AC18" s="229" t="e">
        <f ca="1">IF(ACOMPANHAMENTO&lt;&gt;"PLE",0,SUMPRODUCT((OFFSET(CÁLCULO!$FN$15:$HL$15,$A18,0,$B18)&lt;=(PLE.Medicao-1))*OFFSET(CÁLCULO!$BP$15:$DN$15,$A18,0,$B18)*OFFSET(ORÇAMENTO!$AA$15,$A18,0,$B18)/(OFFSET(ORÇAMENTO!$X$15,$A18,0,$B18)+10^-12))+IF(AUTOEVENTO="Manual",SUMPRODUCT((OFFSET(CÁLCULO!$M$15,$A18,0,$B18)=1)*OFFSET(ORÇAMENTO!$AA$15,$A18,0,$B18)*(PLE!$AE$9-PLE!$Y$9)),0))</f>
        <v>#N/A</v>
      </c>
      <c r="AD18" s="229" t="e">
        <f ca="1">IF(ACOMPANHAMENTO&lt;&gt;"PLE",0,SUMPRODUCT((OFFSET(CÁLCULO!$FN$15:$HL$15,$A18,0,$B18)&lt;=(PLE.Medicao-1))*OFFSET(CÁLCULO!$BP$15:$DN$15,$A18,0,$B18)*OFFSET(ORÇAMENTO!$AB$15,$A18,0,$B18)/(OFFSET(ORÇAMENTO!$X$15,$A18,0,$B18)+10^-12))+IF(AUTOEVENTO="Manual",SUMPRODUCT((OFFSET(CÁLCULO!$M$15,$A18,0,$B18)=1)*OFFSET(ORÇAMENTO!$AB$15,$A18,0,$B18)*(PLE!$AE$9-PLE!$Y$9)),0))</f>
        <v>#N/A</v>
      </c>
      <c r="AE18" s="229" t="e">
        <f ca="1">ROUND(IF(ACOMPANHAMENTO&lt;&gt;"PLE",0,SUMIF(OFFSET(CÁLCULO!$FN$15:$HL$15,$A18,0,$B18),"&lt;="&amp;(PLE.Medicao-1),OFFSET(CÁLCULO!$BP$15:$DN$15,$A18,0,$B18))+IF(AUTOEVENTO="Manual",SUMIF(OFFSET(CÁLCULO!$M$15,$A18,0,$B18),1,OFFSET(ORÇAMENTO!$X$15,$A18,0,$B18))*(PLE!$AE$9-PLE!$Y$9),0)),2)</f>
        <v>#N/A</v>
      </c>
      <c r="AF18" s="229" t="e">
        <f ca="1">IF(ACOMPANHAMENTO&lt;&gt;"PLE",0,SUMPRODUCT((OFFSET(CÁLCULO!$FN$15:$HL$15,$A18,0,$B18)&lt;=PLE.Medicao)*OFFSET(CÁLCULO!$BP$15:$DN$15,$A18,0,$B18)*OFFSET(ORÇAMENTO!$AA$15,$A18,0,$B18)/(OFFSET(ORÇAMENTO!$X$15,$A18,0,$B18)+10^-12))+IF(AUTOEVENTO="Manual",SUMPRODUCT((OFFSET(CÁLCULO!$M$15,$A18,0,$B18)=1)*OFFSET(ORÇAMENTO!$AA$15,$A18,0,$B18)*PLE!$AE$9),0))</f>
        <v>#N/A</v>
      </c>
      <c r="AG18" s="229" t="e">
        <f ca="1">IF(ACOMPANHAMENTO&lt;&gt;"PLE",0,SUMPRODUCT((OFFSET(CÁLCULO!$FN$15:$HL$15,$A18,0,$B18)&lt;=PLE.Medicao)*OFFSET(CÁLCULO!$BP$15:$DN$15,$A18,0,$B18)*OFFSET(ORÇAMENTO!$AB$15,$A18,0,$B18)/(OFFSET(ORÇAMENTO!$X$15,$A18,0,$B18)+10^-12))+IF(AUTOEVENTO="Manual",SUMPRODUCT((OFFSET(CÁLCULO!$M$15,$A18,0,$B18)=1)*OFFSET(ORÇAMENTO!$AB$15,$A18,0,$B18)*PLE!$AE$9),0))</f>
        <v>#N/A</v>
      </c>
      <c r="AH18" s="229" t="e">
        <f ca="1">ROUND(IF(ACOMPANHAMENTO&lt;&gt;"PLE",0,SUMIF(OFFSET(CÁLCULO!$FN$15:$HL$15,$A18,0,$B18),"&lt;="&amp;PLE.Medicao,OFFSET(CÁLCULO!$BP$15:$DN$15,$A18,0,$B18))+IF(AUTOEVENTO="Manual",SUMIF(OFFSET(CÁLCULO!$M$15,$A18,0,$B18),1,OFFSET(ORÇAMENTO!$X$15,$A18,0,$B18))*PLE!$AE$9,0)),2)</f>
        <v>#N/A</v>
      </c>
      <c r="AJ18" s="229">
        <f ca="1">IF(ACOMPANHAMENTO&lt;&gt;"BM",0,SUMPRODUCT(OFFSET(BM!$M$15,$A18,0,$B18)*(OFFSET(BM!$A$15,$A18,0,$B18)="S")*OFFSET(ORÇAMENTO!AA$15,$A18,0,$B18)/(OFFSET(ORÇAMENTO!$X$15,$A18,0,$B18)+10^-12)))</f>
        <v>0</v>
      </c>
      <c r="AK18" s="229">
        <f ca="1">IF(ACOMPANHAMENTO&lt;&gt;"BM",0,SUMPRODUCT(OFFSET(BM!$M$15,$A18,0,$B18)*(OFFSET(BM!$A$15,$A18,0,$B18)="S")*OFFSET(ORÇAMENTO!AB$15,$A18,0,$B18)/(OFFSET(ORÇAMENTO!$X$15,$A18,0,$B18)+10^-12)))</f>
        <v>0</v>
      </c>
      <c r="AL18" s="229">
        <f ca="1">IF(ACOMPANHAMENTO&lt;&gt;"BM",0,OFFSET(BM!$M$15,$A18,0))</f>
        <v>0</v>
      </c>
      <c r="AM18" s="229">
        <f ca="1">IF(ACOMPANHAMENTO&lt;&gt;"BM",0,SUMPRODUCT(OFFSET(BM!$O$15,$A18,0,$B18)*(OFFSET(BM!$A$15,$A18,0,$B18)="S")*OFFSET(ORÇAMENTO!AA$15,$A18,0,$B18)/(OFFSET(ORÇAMENTO!$X$15,$A18,0,$B18)+10^-12)))</f>
        <v>0</v>
      </c>
      <c r="AN18" s="229">
        <f ca="1">IF(ACOMPANHAMENTO&lt;&gt;"BM",0,SUMPRODUCT(OFFSET(BM!$O$15,$A18,0,$B18)*(OFFSET(BM!$A$15,$A18,0,$B18)="S")*OFFSET(ORÇAMENTO!AB$15,$A18,0,$B18)/(OFFSET(ORÇAMENTO!$X$15,$A18,0,$B18)+10^-12)))</f>
        <v>0</v>
      </c>
      <c r="AO18" s="229">
        <f ca="1">IF(ACOMPANHAMENTO&lt;&gt;"BM",0,OFFSET(BM!$O$15,$A18,0))</f>
        <v>0</v>
      </c>
    </row>
    <row r="19" spans="1:41" x14ac:dyDescent="0.2">
      <c r="A19" t="e">
        <f ca="1">MATCH(E19,ORÇAMENTO!$E$15:$E$33,0)-1</f>
        <v>#N/A</v>
      </c>
      <c r="B19" t="e">
        <f ca="1">IF(ISERROR($A19),NA(),OFFSET(ORÇAMENTO!$D$15,$A19,0))</f>
        <v>#N/A</v>
      </c>
      <c r="C19" t="str">
        <f ca="1">QCI!B19</f>
        <v>Branco</v>
      </c>
      <c r="D19" t="str">
        <f t="shared" ca="1" si="0"/>
        <v/>
      </c>
      <c r="E19" s="456">
        <f>QCI!D19</f>
        <v>6</v>
      </c>
      <c r="F19" s="457" t="str">
        <f ca="1">QCI!G19</f>
        <v/>
      </c>
      <c r="G19" s="458">
        <f>QCI!H19</f>
        <v>0</v>
      </c>
      <c r="H19" s="459">
        <f>QCI!I19</f>
        <v>0</v>
      </c>
      <c r="I19" s="460" t="str">
        <f ca="1">QCI!J19</f>
        <v/>
      </c>
      <c r="J19" s="461" t="str">
        <f ca="1">QCI!K19</f>
        <v/>
      </c>
      <c r="K19" s="462" t="str">
        <f t="shared" ca="1" si="1"/>
        <v/>
      </c>
      <c r="L19" s="463">
        <f ca="1">QCI!$O19</f>
        <v>0</v>
      </c>
      <c r="M19" s="465">
        <f t="shared" ca="1" si="2"/>
        <v>0</v>
      </c>
      <c r="N19" s="466">
        <f t="shared" ca="1" si="3"/>
        <v>0</v>
      </c>
      <c r="O19" s="467">
        <f t="shared" ca="1" si="4"/>
        <v>0</v>
      </c>
      <c r="P19" s="468">
        <f t="shared" ca="1" si="5"/>
        <v>0</v>
      </c>
      <c r="R19" s="464">
        <f ca="1">ROUND(IF($C19="Automático",AC19+AJ19,$Y19*IF(ISERROR(QCI!$AA19/QCI!$O19),0,QCI!$AA19/QCI!$O19)),2)</f>
        <v>0</v>
      </c>
      <c r="S19" s="464">
        <f ca="1">ROUND(IF($C19="Automático",AD19+AK19,$Y19*IF(ISERROR(QCI!$AB19/QCI!$O19),0,QCI!$AB19/QCI!$O19)),2)</f>
        <v>0</v>
      </c>
      <c r="T19" s="464">
        <f ca="1">ROUND(IF($C19="Automático",AF19+AM19,$Z19*IF(ISERROR(QCI!$AA19/QCI!$O19),0,QCI!$AA19/QCI!$O19)),2)</f>
        <v>0</v>
      </c>
      <c r="U19" s="464">
        <f ca="1">ROUND(IF($C19="Automático",AG19+AN19,$Z19*IF(ISERROR(QCI!$AB19/QCI!$O19),0,QCI!$AB19/QCI!$O19)),2)</f>
        <v>0</v>
      </c>
      <c r="V19" s="622">
        <f ca="1">IF(AND($L19&gt;0,$J19&lt;&gt;0,$J19&lt;&gt;"",COUNTIF($J$13:$J19,$J19)=1),OFFSET(V19,-1,0)+1,OFFSET(V19,-1,0))</f>
        <v>1</v>
      </c>
      <c r="X19" s="368"/>
      <c r="Y19" s="369"/>
      <c r="Z19" s="371"/>
      <c r="AC19" s="229" t="e">
        <f ca="1">IF(ACOMPANHAMENTO&lt;&gt;"PLE",0,SUMPRODUCT((OFFSET(CÁLCULO!$FN$15:$HL$15,$A19,0,$B19)&lt;=(PLE.Medicao-1))*OFFSET(CÁLCULO!$BP$15:$DN$15,$A19,0,$B19)*OFFSET(ORÇAMENTO!$AA$15,$A19,0,$B19)/(OFFSET(ORÇAMENTO!$X$15,$A19,0,$B19)+10^-12))+IF(AUTOEVENTO="Manual",SUMPRODUCT((OFFSET(CÁLCULO!$M$15,$A19,0,$B19)=1)*OFFSET(ORÇAMENTO!$AA$15,$A19,0,$B19)*(PLE!$AE$9-PLE!$Y$9)),0))</f>
        <v>#N/A</v>
      </c>
      <c r="AD19" s="229" t="e">
        <f ca="1">IF(ACOMPANHAMENTO&lt;&gt;"PLE",0,SUMPRODUCT((OFFSET(CÁLCULO!$FN$15:$HL$15,$A19,0,$B19)&lt;=(PLE.Medicao-1))*OFFSET(CÁLCULO!$BP$15:$DN$15,$A19,0,$B19)*OFFSET(ORÇAMENTO!$AB$15,$A19,0,$B19)/(OFFSET(ORÇAMENTO!$X$15,$A19,0,$B19)+10^-12))+IF(AUTOEVENTO="Manual",SUMPRODUCT((OFFSET(CÁLCULO!$M$15,$A19,0,$B19)=1)*OFFSET(ORÇAMENTO!$AB$15,$A19,0,$B19)*(PLE!$AE$9-PLE!$Y$9)),0))</f>
        <v>#N/A</v>
      </c>
      <c r="AE19" s="229" t="e">
        <f ca="1">ROUND(IF(ACOMPANHAMENTO&lt;&gt;"PLE",0,SUMIF(OFFSET(CÁLCULO!$FN$15:$HL$15,$A19,0,$B19),"&lt;="&amp;(PLE.Medicao-1),OFFSET(CÁLCULO!$BP$15:$DN$15,$A19,0,$B19))+IF(AUTOEVENTO="Manual",SUMIF(OFFSET(CÁLCULO!$M$15,$A19,0,$B19),1,OFFSET(ORÇAMENTO!$X$15,$A19,0,$B19))*(PLE!$AE$9-PLE!$Y$9),0)),2)</f>
        <v>#N/A</v>
      </c>
      <c r="AF19" s="229" t="e">
        <f ca="1">IF(ACOMPANHAMENTO&lt;&gt;"PLE",0,SUMPRODUCT((OFFSET(CÁLCULO!$FN$15:$HL$15,$A19,0,$B19)&lt;=PLE.Medicao)*OFFSET(CÁLCULO!$BP$15:$DN$15,$A19,0,$B19)*OFFSET(ORÇAMENTO!$AA$15,$A19,0,$B19)/(OFFSET(ORÇAMENTO!$X$15,$A19,0,$B19)+10^-12))+IF(AUTOEVENTO="Manual",SUMPRODUCT((OFFSET(CÁLCULO!$M$15,$A19,0,$B19)=1)*OFFSET(ORÇAMENTO!$AA$15,$A19,0,$B19)*PLE!$AE$9),0))</f>
        <v>#N/A</v>
      </c>
      <c r="AG19" s="229" t="e">
        <f ca="1">IF(ACOMPANHAMENTO&lt;&gt;"PLE",0,SUMPRODUCT((OFFSET(CÁLCULO!$FN$15:$HL$15,$A19,0,$B19)&lt;=PLE.Medicao)*OFFSET(CÁLCULO!$BP$15:$DN$15,$A19,0,$B19)*OFFSET(ORÇAMENTO!$AB$15,$A19,0,$B19)/(OFFSET(ORÇAMENTO!$X$15,$A19,0,$B19)+10^-12))+IF(AUTOEVENTO="Manual",SUMPRODUCT((OFFSET(CÁLCULO!$M$15,$A19,0,$B19)=1)*OFFSET(ORÇAMENTO!$AB$15,$A19,0,$B19)*PLE!$AE$9),0))</f>
        <v>#N/A</v>
      </c>
      <c r="AH19" s="229" t="e">
        <f ca="1">ROUND(IF(ACOMPANHAMENTO&lt;&gt;"PLE",0,SUMIF(OFFSET(CÁLCULO!$FN$15:$HL$15,$A19,0,$B19),"&lt;="&amp;PLE.Medicao,OFFSET(CÁLCULO!$BP$15:$DN$15,$A19,0,$B19))+IF(AUTOEVENTO="Manual",SUMIF(OFFSET(CÁLCULO!$M$15,$A19,0,$B19),1,OFFSET(ORÇAMENTO!$X$15,$A19,0,$B19))*PLE!$AE$9,0)),2)</f>
        <v>#N/A</v>
      </c>
      <c r="AJ19" s="229">
        <f ca="1">IF(ACOMPANHAMENTO&lt;&gt;"BM",0,SUMPRODUCT(OFFSET(BM!$M$15,$A19,0,$B19)*(OFFSET(BM!$A$15,$A19,0,$B19)="S")*OFFSET(ORÇAMENTO!AA$15,$A19,0,$B19)/(OFFSET(ORÇAMENTO!$X$15,$A19,0,$B19)+10^-12)))</f>
        <v>0</v>
      </c>
      <c r="AK19" s="229">
        <f ca="1">IF(ACOMPANHAMENTO&lt;&gt;"BM",0,SUMPRODUCT(OFFSET(BM!$M$15,$A19,0,$B19)*(OFFSET(BM!$A$15,$A19,0,$B19)="S")*OFFSET(ORÇAMENTO!AB$15,$A19,0,$B19)/(OFFSET(ORÇAMENTO!$X$15,$A19,0,$B19)+10^-12)))</f>
        <v>0</v>
      </c>
      <c r="AL19" s="229">
        <f ca="1">IF(ACOMPANHAMENTO&lt;&gt;"BM",0,OFFSET(BM!$M$15,$A19,0))</f>
        <v>0</v>
      </c>
      <c r="AM19" s="229">
        <f ca="1">IF(ACOMPANHAMENTO&lt;&gt;"BM",0,SUMPRODUCT(OFFSET(BM!$O$15,$A19,0,$B19)*(OFFSET(BM!$A$15,$A19,0,$B19)="S")*OFFSET(ORÇAMENTO!AA$15,$A19,0,$B19)/(OFFSET(ORÇAMENTO!$X$15,$A19,0,$B19)+10^-12)))</f>
        <v>0</v>
      </c>
      <c r="AN19" s="229">
        <f ca="1">IF(ACOMPANHAMENTO&lt;&gt;"BM",0,SUMPRODUCT(OFFSET(BM!$O$15,$A19,0,$B19)*(OFFSET(BM!$A$15,$A19,0,$B19)="S")*OFFSET(ORÇAMENTO!AB$15,$A19,0,$B19)/(OFFSET(ORÇAMENTO!$X$15,$A19,0,$B19)+10^-12)))</f>
        <v>0</v>
      </c>
      <c r="AO19" s="229">
        <f ca="1">IF(ACOMPANHAMENTO&lt;&gt;"BM",0,OFFSET(BM!$O$15,$A19,0))</f>
        <v>0</v>
      </c>
    </row>
    <row r="20" spans="1:41" x14ac:dyDescent="0.2">
      <c r="A20" t="e">
        <f ca="1">MATCH(E20,ORÇAMENTO!$E$15:$E$33,0)-1</f>
        <v>#N/A</v>
      </c>
      <c r="B20" t="e">
        <f ca="1">IF(ISERROR($A20),NA(),OFFSET(ORÇAMENTO!$D$15,$A20,0))</f>
        <v>#N/A</v>
      </c>
      <c r="C20" t="str">
        <f ca="1">QCI!B20</f>
        <v>Branco</v>
      </c>
      <c r="D20" t="str">
        <f t="shared" ca="1" si="0"/>
        <v/>
      </c>
      <c r="E20" s="456">
        <f>QCI!D20</f>
        <v>7</v>
      </c>
      <c r="F20" s="457" t="str">
        <f ca="1">QCI!G20</f>
        <v/>
      </c>
      <c r="G20" s="458">
        <f>QCI!H20</f>
        <v>0</v>
      </c>
      <c r="H20" s="459">
        <f>QCI!I20</f>
        <v>0</v>
      </c>
      <c r="I20" s="460" t="str">
        <f ca="1">QCI!J20</f>
        <v/>
      </c>
      <c r="J20" s="461" t="str">
        <f ca="1">QCI!K20</f>
        <v/>
      </c>
      <c r="K20" s="462" t="str">
        <f t="shared" ca="1" si="1"/>
        <v/>
      </c>
      <c r="L20" s="463">
        <f ca="1">QCI!$O20</f>
        <v>0</v>
      </c>
      <c r="M20" s="465">
        <f t="shared" ca="1" si="2"/>
        <v>0</v>
      </c>
      <c r="N20" s="466">
        <f t="shared" ca="1" si="3"/>
        <v>0</v>
      </c>
      <c r="O20" s="467">
        <f t="shared" ca="1" si="4"/>
        <v>0</v>
      </c>
      <c r="P20" s="468">
        <f t="shared" ca="1" si="5"/>
        <v>0</v>
      </c>
      <c r="R20" s="464">
        <f ca="1">ROUND(IF($C20="Automático",AC20+AJ20,$Y20*IF(ISERROR(QCI!$AA20/QCI!$O20),0,QCI!$AA20/QCI!$O20)),2)</f>
        <v>0</v>
      </c>
      <c r="S20" s="464">
        <f ca="1">ROUND(IF($C20="Automático",AD20+AK20,$Y20*IF(ISERROR(QCI!$AB20/QCI!$O20),0,QCI!$AB20/QCI!$O20)),2)</f>
        <v>0</v>
      </c>
      <c r="T20" s="464">
        <f ca="1">ROUND(IF($C20="Automático",AF20+AM20,$Z20*IF(ISERROR(QCI!$AA20/QCI!$O20),0,QCI!$AA20/QCI!$O20)),2)</f>
        <v>0</v>
      </c>
      <c r="U20" s="464">
        <f ca="1">ROUND(IF($C20="Automático",AG20+AN20,$Z20*IF(ISERROR(QCI!$AB20/QCI!$O20),0,QCI!$AB20/QCI!$O20)),2)</f>
        <v>0</v>
      </c>
      <c r="V20" s="622">
        <f ca="1">IF(AND($L20&gt;0,$J20&lt;&gt;0,$J20&lt;&gt;"",COUNTIF($J$13:$J20,$J20)=1),OFFSET(V20,-1,0)+1,OFFSET(V20,-1,0))</f>
        <v>1</v>
      </c>
      <c r="X20" s="368"/>
      <c r="Y20" s="369"/>
      <c r="Z20" s="371"/>
      <c r="AC20" s="229" t="e">
        <f ca="1">IF(ACOMPANHAMENTO&lt;&gt;"PLE",0,SUMPRODUCT((OFFSET(CÁLCULO!$FN$15:$HL$15,$A20,0,$B20)&lt;=(PLE.Medicao-1))*OFFSET(CÁLCULO!$BP$15:$DN$15,$A20,0,$B20)*OFFSET(ORÇAMENTO!$AA$15,$A20,0,$B20)/(OFFSET(ORÇAMENTO!$X$15,$A20,0,$B20)+10^-12))+IF(AUTOEVENTO="Manual",SUMPRODUCT((OFFSET(CÁLCULO!$M$15,$A20,0,$B20)=1)*OFFSET(ORÇAMENTO!$AA$15,$A20,0,$B20)*(PLE!$AE$9-PLE!$Y$9)),0))</f>
        <v>#N/A</v>
      </c>
      <c r="AD20" s="229" t="e">
        <f ca="1">IF(ACOMPANHAMENTO&lt;&gt;"PLE",0,SUMPRODUCT((OFFSET(CÁLCULO!$FN$15:$HL$15,$A20,0,$B20)&lt;=(PLE.Medicao-1))*OFFSET(CÁLCULO!$BP$15:$DN$15,$A20,0,$B20)*OFFSET(ORÇAMENTO!$AB$15,$A20,0,$B20)/(OFFSET(ORÇAMENTO!$X$15,$A20,0,$B20)+10^-12))+IF(AUTOEVENTO="Manual",SUMPRODUCT((OFFSET(CÁLCULO!$M$15,$A20,0,$B20)=1)*OFFSET(ORÇAMENTO!$AB$15,$A20,0,$B20)*(PLE!$AE$9-PLE!$Y$9)),0))</f>
        <v>#N/A</v>
      </c>
      <c r="AE20" s="229" t="e">
        <f ca="1">ROUND(IF(ACOMPANHAMENTO&lt;&gt;"PLE",0,SUMIF(OFFSET(CÁLCULO!$FN$15:$HL$15,$A20,0,$B20),"&lt;="&amp;(PLE.Medicao-1),OFFSET(CÁLCULO!$BP$15:$DN$15,$A20,0,$B20))+IF(AUTOEVENTO="Manual",SUMIF(OFFSET(CÁLCULO!$M$15,$A20,0,$B20),1,OFFSET(ORÇAMENTO!$X$15,$A20,0,$B20))*(PLE!$AE$9-PLE!$Y$9),0)),2)</f>
        <v>#N/A</v>
      </c>
      <c r="AF20" s="229" t="e">
        <f ca="1">IF(ACOMPANHAMENTO&lt;&gt;"PLE",0,SUMPRODUCT((OFFSET(CÁLCULO!$FN$15:$HL$15,$A20,0,$B20)&lt;=PLE.Medicao)*OFFSET(CÁLCULO!$BP$15:$DN$15,$A20,0,$B20)*OFFSET(ORÇAMENTO!$AA$15,$A20,0,$B20)/(OFFSET(ORÇAMENTO!$X$15,$A20,0,$B20)+10^-12))+IF(AUTOEVENTO="Manual",SUMPRODUCT((OFFSET(CÁLCULO!$M$15,$A20,0,$B20)=1)*OFFSET(ORÇAMENTO!$AA$15,$A20,0,$B20)*PLE!$AE$9),0))</f>
        <v>#N/A</v>
      </c>
      <c r="AG20" s="229" t="e">
        <f ca="1">IF(ACOMPANHAMENTO&lt;&gt;"PLE",0,SUMPRODUCT((OFFSET(CÁLCULO!$FN$15:$HL$15,$A20,0,$B20)&lt;=PLE.Medicao)*OFFSET(CÁLCULO!$BP$15:$DN$15,$A20,0,$B20)*OFFSET(ORÇAMENTO!$AB$15,$A20,0,$B20)/(OFFSET(ORÇAMENTO!$X$15,$A20,0,$B20)+10^-12))+IF(AUTOEVENTO="Manual",SUMPRODUCT((OFFSET(CÁLCULO!$M$15,$A20,0,$B20)=1)*OFFSET(ORÇAMENTO!$AB$15,$A20,0,$B20)*PLE!$AE$9),0))</f>
        <v>#N/A</v>
      </c>
      <c r="AH20" s="229" t="e">
        <f ca="1">ROUND(IF(ACOMPANHAMENTO&lt;&gt;"PLE",0,SUMIF(OFFSET(CÁLCULO!$FN$15:$HL$15,$A20,0,$B20),"&lt;="&amp;PLE.Medicao,OFFSET(CÁLCULO!$BP$15:$DN$15,$A20,0,$B20))+IF(AUTOEVENTO="Manual",SUMIF(OFFSET(CÁLCULO!$M$15,$A20,0,$B20),1,OFFSET(ORÇAMENTO!$X$15,$A20,0,$B20))*PLE!$AE$9,0)),2)</f>
        <v>#N/A</v>
      </c>
      <c r="AJ20" s="229">
        <f ca="1">IF(ACOMPANHAMENTO&lt;&gt;"BM",0,SUMPRODUCT(OFFSET(BM!$M$15,$A20,0,$B20)*(OFFSET(BM!$A$15,$A20,0,$B20)="S")*OFFSET(ORÇAMENTO!AA$15,$A20,0,$B20)/(OFFSET(ORÇAMENTO!$X$15,$A20,0,$B20)+10^-12)))</f>
        <v>0</v>
      </c>
      <c r="AK20" s="229">
        <f ca="1">IF(ACOMPANHAMENTO&lt;&gt;"BM",0,SUMPRODUCT(OFFSET(BM!$M$15,$A20,0,$B20)*(OFFSET(BM!$A$15,$A20,0,$B20)="S")*OFFSET(ORÇAMENTO!AB$15,$A20,0,$B20)/(OFFSET(ORÇAMENTO!$X$15,$A20,0,$B20)+10^-12)))</f>
        <v>0</v>
      </c>
      <c r="AL20" s="229">
        <f ca="1">IF(ACOMPANHAMENTO&lt;&gt;"BM",0,OFFSET(BM!$M$15,$A20,0))</f>
        <v>0</v>
      </c>
      <c r="AM20" s="229">
        <f ca="1">IF(ACOMPANHAMENTO&lt;&gt;"BM",0,SUMPRODUCT(OFFSET(BM!$O$15,$A20,0,$B20)*(OFFSET(BM!$A$15,$A20,0,$B20)="S")*OFFSET(ORÇAMENTO!AA$15,$A20,0,$B20)/(OFFSET(ORÇAMENTO!$X$15,$A20,0,$B20)+10^-12)))</f>
        <v>0</v>
      </c>
      <c r="AN20" s="229">
        <f ca="1">IF(ACOMPANHAMENTO&lt;&gt;"BM",0,SUMPRODUCT(OFFSET(BM!$O$15,$A20,0,$B20)*(OFFSET(BM!$A$15,$A20,0,$B20)="S")*OFFSET(ORÇAMENTO!AB$15,$A20,0,$B20)/(OFFSET(ORÇAMENTO!$X$15,$A20,0,$B20)+10^-12)))</f>
        <v>0</v>
      </c>
      <c r="AO20" s="229">
        <f ca="1">IF(ACOMPANHAMENTO&lt;&gt;"BM",0,OFFSET(BM!$O$15,$A20,0))</f>
        <v>0</v>
      </c>
    </row>
    <row r="21" spans="1:41" x14ac:dyDescent="0.2">
      <c r="A21" t="e">
        <f ca="1">MATCH(E21,ORÇAMENTO!$E$15:$E$33,0)-1</f>
        <v>#N/A</v>
      </c>
      <c r="B21" t="e">
        <f ca="1">IF(ISERROR($A21),NA(),OFFSET(ORÇAMENTO!$D$15,$A21,0))</f>
        <v>#N/A</v>
      </c>
      <c r="C21" t="str">
        <f ca="1">QCI!B21</f>
        <v>Branco</v>
      </c>
      <c r="D21" t="str">
        <f t="shared" ca="1" si="0"/>
        <v/>
      </c>
      <c r="E21" s="456">
        <f>QCI!D21</f>
        <v>8</v>
      </c>
      <c r="F21" s="457" t="str">
        <f ca="1">QCI!G21</f>
        <v/>
      </c>
      <c r="G21" s="458">
        <f>QCI!H21</f>
        <v>0</v>
      </c>
      <c r="H21" s="459">
        <f>QCI!I21</f>
        <v>0</v>
      </c>
      <c r="I21" s="460" t="str">
        <f ca="1">QCI!J21</f>
        <v/>
      </c>
      <c r="J21" s="461" t="str">
        <f ca="1">QCI!K21</f>
        <v/>
      </c>
      <c r="K21" s="462" t="str">
        <f t="shared" ca="1" si="1"/>
        <v/>
      </c>
      <c r="L21" s="463">
        <f ca="1">QCI!$O21</f>
        <v>0</v>
      </c>
      <c r="M21" s="465">
        <f t="shared" ca="1" si="2"/>
        <v>0</v>
      </c>
      <c r="N21" s="466">
        <f t="shared" ca="1" si="3"/>
        <v>0</v>
      </c>
      <c r="O21" s="467">
        <f t="shared" ca="1" si="4"/>
        <v>0</v>
      </c>
      <c r="P21" s="468">
        <f t="shared" ca="1" si="5"/>
        <v>0</v>
      </c>
      <c r="R21" s="464">
        <f ca="1">ROUND(IF($C21="Automático",AC21+AJ21,$Y21*IF(ISERROR(QCI!$AA21/QCI!$O21),0,QCI!$AA21/QCI!$O21)),2)</f>
        <v>0</v>
      </c>
      <c r="S21" s="464">
        <f ca="1">ROUND(IF($C21="Automático",AD21+AK21,$Y21*IF(ISERROR(QCI!$AB21/QCI!$O21),0,QCI!$AB21/QCI!$O21)),2)</f>
        <v>0</v>
      </c>
      <c r="T21" s="464">
        <f ca="1">ROUND(IF($C21="Automático",AF21+AM21,$Z21*IF(ISERROR(QCI!$AA21/QCI!$O21),0,QCI!$AA21/QCI!$O21)),2)</f>
        <v>0</v>
      </c>
      <c r="U21" s="464">
        <f ca="1">ROUND(IF($C21="Automático",AG21+AN21,$Z21*IF(ISERROR(QCI!$AB21/QCI!$O21),0,QCI!$AB21/QCI!$O21)),2)</f>
        <v>0</v>
      </c>
      <c r="V21" s="622">
        <f ca="1">IF(AND($L21&gt;0,$J21&lt;&gt;0,$J21&lt;&gt;"",COUNTIF($J$13:$J21,$J21)=1),OFFSET(V21,-1,0)+1,OFFSET(V21,-1,0))</f>
        <v>1</v>
      </c>
      <c r="X21" s="368"/>
      <c r="Y21" s="369"/>
      <c r="Z21" s="371"/>
      <c r="AC21" s="229" t="e">
        <f ca="1">IF(ACOMPANHAMENTO&lt;&gt;"PLE",0,SUMPRODUCT((OFFSET(CÁLCULO!$FN$15:$HL$15,$A21,0,$B21)&lt;=(PLE.Medicao-1))*OFFSET(CÁLCULO!$BP$15:$DN$15,$A21,0,$B21)*OFFSET(ORÇAMENTO!$AA$15,$A21,0,$B21)/(OFFSET(ORÇAMENTO!$X$15,$A21,0,$B21)+10^-12))+IF(AUTOEVENTO="Manual",SUMPRODUCT((OFFSET(CÁLCULO!$M$15,$A21,0,$B21)=1)*OFFSET(ORÇAMENTO!$AA$15,$A21,0,$B21)*(PLE!$AE$9-PLE!$Y$9)),0))</f>
        <v>#N/A</v>
      </c>
      <c r="AD21" s="229" t="e">
        <f ca="1">IF(ACOMPANHAMENTO&lt;&gt;"PLE",0,SUMPRODUCT((OFFSET(CÁLCULO!$FN$15:$HL$15,$A21,0,$B21)&lt;=(PLE.Medicao-1))*OFFSET(CÁLCULO!$BP$15:$DN$15,$A21,0,$B21)*OFFSET(ORÇAMENTO!$AB$15,$A21,0,$B21)/(OFFSET(ORÇAMENTO!$X$15,$A21,0,$B21)+10^-12))+IF(AUTOEVENTO="Manual",SUMPRODUCT((OFFSET(CÁLCULO!$M$15,$A21,0,$B21)=1)*OFFSET(ORÇAMENTO!$AB$15,$A21,0,$B21)*(PLE!$AE$9-PLE!$Y$9)),0))</f>
        <v>#N/A</v>
      </c>
      <c r="AE21" s="229" t="e">
        <f ca="1">ROUND(IF(ACOMPANHAMENTO&lt;&gt;"PLE",0,SUMIF(OFFSET(CÁLCULO!$FN$15:$HL$15,$A21,0,$B21),"&lt;="&amp;(PLE.Medicao-1),OFFSET(CÁLCULO!$BP$15:$DN$15,$A21,0,$B21))+IF(AUTOEVENTO="Manual",SUMIF(OFFSET(CÁLCULO!$M$15,$A21,0,$B21),1,OFFSET(ORÇAMENTO!$X$15,$A21,0,$B21))*(PLE!$AE$9-PLE!$Y$9),0)),2)</f>
        <v>#N/A</v>
      </c>
      <c r="AF21" s="229" t="e">
        <f ca="1">IF(ACOMPANHAMENTO&lt;&gt;"PLE",0,SUMPRODUCT((OFFSET(CÁLCULO!$FN$15:$HL$15,$A21,0,$B21)&lt;=PLE.Medicao)*OFFSET(CÁLCULO!$BP$15:$DN$15,$A21,0,$B21)*OFFSET(ORÇAMENTO!$AA$15,$A21,0,$B21)/(OFFSET(ORÇAMENTO!$X$15,$A21,0,$B21)+10^-12))+IF(AUTOEVENTO="Manual",SUMPRODUCT((OFFSET(CÁLCULO!$M$15,$A21,0,$B21)=1)*OFFSET(ORÇAMENTO!$AA$15,$A21,0,$B21)*PLE!$AE$9),0))</f>
        <v>#N/A</v>
      </c>
      <c r="AG21" s="229" t="e">
        <f ca="1">IF(ACOMPANHAMENTO&lt;&gt;"PLE",0,SUMPRODUCT((OFFSET(CÁLCULO!$FN$15:$HL$15,$A21,0,$B21)&lt;=PLE.Medicao)*OFFSET(CÁLCULO!$BP$15:$DN$15,$A21,0,$B21)*OFFSET(ORÇAMENTO!$AB$15,$A21,0,$B21)/(OFFSET(ORÇAMENTO!$X$15,$A21,0,$B21)+10^-12))+IF(AUTOEVENTO="Manual",SUMPRODUCT((OFFSET(CÁLCULO!$M$15,$A21,0,$B21)=1)*OFFSET(ORÇAMENTO!$AB$15,$A21,0,$B21)*PLE!$AE$9),0))</f>
        <v>#N/A</v>
      </c>
      <c r="AH21" s="229" t="e">
        <f ca="1">ROUND(IF(ACOMPANHAMENTO&lt;&gt;"PLE",0,SUMIF(OFFSET(CÁLCULO!$FN$15:$HL$15,$A21,0,$B21),"&lt;="&amp;PLE.Medicao,OFFSET(CÁLCULO!$BP$15:$DN$15,$A21,0,$B21))+IF(AUTOEVENTO="Manual",SUMIF(OFFSET(CÁLCULO!$M$15,$A21,0,$B21),1,OFFSET(ORÇAMENTO!$X$15,$A21,0,$B21))*PLE!$AE$9,0)),2)</f>
        <v>#N/A</v>
      </c>
      <c r="AJ21" s="229">
        <f ca="1">IF(ACOMPANHAMENTO&lt;&gt;"BM",0,SUMPRODUCT(OFFSET(BM!$M$15,$A21,0,$B21)*(OFFSET(BM!$A$15,$A21,0,$B21)="S")*OFFSET(ORÇAMENTO!AA$15,$A21,0,$B21)/(OFFSET(ORÇAMENTO!$X$15,$A21,0,$B21)+10^-12)))</f>
        <v>0</v>
      </c>
      <c r="AK21" s="229">
        <f ca="1">IF(ACOMPANHAMENTO&lt;&gt;"BM",0,SUMPRODUCT(OFFSET(BM!$M$15,$A21,0,$B21)*(OFFSET(BM!$A$15,$A21,0,$B21)="S")*OFFSET(ORÇAMENTO!AB$15,$A21,0,$B21)/(OFFSET(ORÇAMENTO!$X$15,$A21,0,$B21)+10^-12)))</f>
        <v>0</v>
      </c>
      <c r="AL21" s="229">
        <f ca="1">IF(ACOMPANHAMENTO&lt;&gt;"BM",0,OFFSET(BM!$M$15,$A21,0))</f>
        <v>0</v>
      </c>
      <c r="AM21" s="229">
        <f ca="1">IF(ACOMPANHAMENTO&lt;&gt;"BM",0,SUMPRODUCT(OFFSET(BM!$O$15,$A21,0,$B21)*(OFFSET(BM!$A$15,$A21,0,$B21)="S")*OFFSET(ORÇAMENTO!AA$15,$A21,0,$B21)/(OFFSET(ORÇAMENTO!$X$15,$A21,0,$B21)+10^-12)))</f>
        <v>0</v>
      </c>
      <c r="AN21" s="229">
        <f ca="1">IF(ACOMPANHAMENTO&lt;&gt;"BM",0,SUMPRODUCT(OFFSET(BM!$O$15,$A21,0,$B21)*(OFFSET(BM!$A$15,$A21,0,$B21)="S")*OFFSET(ORÇAMENTO!AB$15,$A21,0,$B21)/(OFFSET(ORÇAMENTO!$X$15,$A21,0,$B21)+10^-12)))</f>
        <v>0</v>
      </c>
      <c r="AO21" s="229">
        <f ca="1">IF(ACOMPANHAMENTO&lt;&gt;"BM",0,OFFSET(BM!$O$15,$A21,0))</f>
        <v>0</v>
      </c>
    </row>
    <row r="22" spans="1:41" x14ac:dyDescent="0.2">
      <c r="A22" t="e">
        <f ca="1">MATCH(E22,ORÇAMENTO!$E$15:$E$33,0)-1</f>
        <v>#N/A</v>
      </c>
      <c r="B22" t="e">
        <f ca="1">IF(ISERROR($A22),NA(),OFFSET(ORÇAMENTO!$D$15,$A22,0))</f>
        <v>#N/A</v>
      </c>
      <c r="C22" t="str">
        <f ca="1">QCI!B22</f>
        <v>Branco</v>
      </c>
      <c r="D22" t="str">
        <f ca="1">IF(L22&gt;0,"F","")</f>
        <v/>
      </c>
      <c r="E22" s="456">
        <f>QCI!D22</f>
        <v>9</v>
      </c>
      <c r="F22" s="457" t="str">
        <f ca="1">QCI!G22</f>
        <v/>
      </c>
      <c r="G22" s="458">
        <f>QCI!H22</f>
        <v>0</v>
      </c>
      <c r="H22" s="459">
        <f>QCI!I22</f>
        <v>0</v>
      </c>
      <c r="I22" s="460" t="str">
        <f ca="1">QCI!J22</f>
        <v/>
      </c>
      <c r="J22" s="461" t="str">
        <f ca="1">QCI!K22</f>
        <v/>
      </c>
      <c r="K22" s="462" t="str">
        <f t="shared" ca="1" si="1"/>
        <v/>
      </c>
      <c r="L22" s="463">
        <f ca="1">QCI!$O22</f>
        <v>0</v>
      </c>
      <c r="M22" s="465">
        <f ca="1">ROUND(IF(C22="Automático",AE22+AL22,Y22),2)</f>
        <v>0</v>
      </c>
      <c r="N22" s="466">
        <f ca="1">O22-M22</f>
        <v>0</v>
      </c>
      <c r="O22" s="467">
        <f ca="1">ROUND(IF(C22="Automático",AH22+AO22,Z22),2)</f>
        <v>0</v>
      </c>
      <c r="P22" s="468">
        <f ca="1">O22/(L22+10^-12)</f>
        <v>0</v>
      </c>
      <c r="R22" s="464">
        <f ca="1">ROUND(IF($C22="Automático",AC22+AJ22,$Y22*IF(ISERROR(QCI!$AA22/QCI!$O22),0,QCI!$AA22/QCI!$O22)),2)</f>
        <v>0</v>
      </c>
      <c r="S22" s="464">
        <f ca="1">ROUND(IF($C22="Automático",AD22+AK22,$Y22*IF(ISERROR(QCI!$AB22/QCI!$O22),0,QCI!$AB22/QCI!$O22)),2)</f>
        <v>0</v>
      </c>
      <c r="T22" s="464">
        <f ca="1">ROUND(IF($C22="Automático",AF22+AM22,$Z22*IF(ISERROR(QCI!$AA22/QCI!$O22),0,QCI!$AA22/QCI!$O22)),2)</f>
        <v>0</v>
      </c>
      <c r="U22" s="464">
        <f ca="1">ROUND(IF($C22="Automático",AG22+AN22,$Z22*IF(ISERROR(QCI!$AB22/QCI!$O22),0,QCI!$AB22/QCI!$O22)),2)</f>
        <v>0</v>
      </c>
      <c r="V22" s="622">
        <f ca="1">IF(AND($L22&gt;0,$J22&lt;&gt;0,$J22&lt;&gt;"",COUNTIF($J$13:$J22,$J22)=1),OFFSET(V22,-1,0)+1,OFFSET(V22,-1,0))</f>
        <v>1</v>
      </c>
      <c r="X22" s="368"/>
      <c r="Y22" s="369"/>
      <c r="Z22" s="371"/>
      <c r="AC22" s="229" t="e">
        <f ca="1">IF(ACOMPANHAMENTO&lt;&gt;"PLE",0,SUMPRODUCT((OFFSET(CÁLCULO!$FN$15:$HL$15,$A22,0,$B22)&lt;=(PLE.Medicao-1))*OFFSET(CÁLCULO!$BP$15:$DN$15,$A22,0,$B22)*OFFSET(ORÇAMENTO!$AA$15,$A22,0,$B22)/(OFFSET(ORÇAMENTO!$X$15,$A22,0,$B22)+10^-12))+IF(AUTOEVENTO="Manual",SUMPRODUCT((OFFSET(CÁLCULO!$M$15,$A22,0,$B22)=1)*OFFSET(ORÇAMENTO!$AA$15,$A22,0,$B22)*(PLE!$AE$9-PLE!$Y$9)),0))</f>
        <v>#N/A</v>
      </c>
      <c r="AD22" s="229" t="e">
        <f ca="1">IF(ACOMPANHAMENTO&lt;&gt;"PLE",0,SUMPRODUCT((OFFSET(CÁLCULO!$FN$15:$HL$15,$A22,0,$B22)&lt;=(PLE.Medicao-1))*OFFSET(CÁLCULO!$BP$15:$DN$15,$A22,0,$B22)*OFFSET(ORÇAMENTO!$AB$15,$A22,0,$B22)/(OFFSET(ORÇAMENTO!$X$15,$A22,0,$B22)+10^-12))+IF(AUTOEVENTO="Manual",SUMPRODUCT((OFFSET(CÁLCULO!$M$15,$A22,0,$B22)=1)*OFFSET(ORÇAMENTO!$AB$15,$A22,0,$B22)*(PLE!$AE$9-PLE!$Y$9)),0))</f>
        <v>#N/A</v>
      </c>
      <c r="AE22" s="229" t="e">
        <f ca="1">ROUND(IF(ACOMPANHAMENTO&lt;&gt;"PLE",0,SUMIF(OFFSET(CÁLCULO!$FN$15:$HL$15,$A22,0,$B22),"&lt;="&amp;(PLE.Medicao-1),OFFSET(CÁLCULO!$BP$15:$DN$15,$A22,0,$B22))+IF(AUTOEVENTO="Manual",SUMIF(OFFSET(CÁLCULO!$M$15,$A22,0,$B22),1,OFFSET(ORÇAMENTO!$X$15,$A22,0,$B22))*(PLE!$AE$9-PLE!$Y$9),0)),2)</f>
        <v>#N/A</v>
      </c>
      <c r="AF22" s="229" t="e">
        <f ca="1">IF(ACOMPANHAMENTO&lt;&gt;"PLE",0,SUMPRODUCT((OFFSET(CÁLCULO!$FN$15:$HL$15,$A22,0,$B22)&lt;=PLE.Medicao)*OFFSET(CÁLCULO!$BP$15:$DN$15,$A22,0,$B22)*OFFSET(ORÇAMENTO!$AA$15,$A22,0,$B22)/(OFFSET(ORÇAMENTO!$X$15,$A22,0,$B22)+10^-12))+IF(AUTOEVENTO="Manual",SUMPRODUCT((OFFSET(CÁLCULO!$M$15,$A22,0,$B22)=1)*OFFSET(ORÇAMENTO!$AA$15,$A22,0,$B22)*PLE!$AE$9),0))</f>
        <v>#N/A</v>
      </c>
      <c r="AG22" s="229" t="e">
        <f ca="1">IF(ACOMPANHAMENTO&lt;&gt;"PLE",0,SUMPRODUCT((OFFSET(CÁLCULO!$FN$15:$HL$15,$A22,0,$B22)&lt;=PLE.Medicao)*OFFSET(CÁLCULO!$BP$15:$DN$15,$A22,0,$B22)*OFFSET(ORÇAMENTO!$AB$15,$A22,0,$B22)/(OFFSET(ORÇAMENTO!$X$15,$A22,0,$B22)+10^-12))+IF(AUTOEVENTO="Manual",SUMPRODUCT((OFFSET(CÁLCULO!$M$15,$A22,0,$B22)=1)*OFFSET(ORÇAMENTO!$AB$15,$A22,0,$B22)*PLE!$AE$9),0))</f>
        <v>#N/A</v>
      </c>
      <c r="AH22" s="229" t="e">
        <f ca="1">ROUND(IF(ACOMPANHAMENTO&lt;&gt;"PLE",0,SUMIF(OFFSET(CÁLCULO!$FN$15:$HL$15,$A22,0,$B22),"&lt;="&amp;PLE.Medicao,OFFSET(CÁLCULO!$BP$15:$DN$15,$A22,0,$B22))+IF(AUTOEVENTO="Manual",SUMIF(OFFSET(CÁLCULO!$M$15,$A22,0,$B22),1,OFFSET(ORÇAMENTO!$X$15,$A22,0,$B22))*PLE!$AE$9,0)),2)</f>
        <v>#N/A</v>
      </c>
      <c r="AJ22" s="229">
        <f ca="1">IF(ACOMPANHAMENTO&lt;&gt;"BM",0,SUMPRODUCT(OFFSET(BM!$M$15,$A22,0,$B22)*(OFFSET(BM!$A$15,$A22,0,$B22)="S")*OFFSET(ORÇAMENTO!AA$15,$A22,0,$B22)/(OFFSET(ORÇAMENTO!$X$15,$A22,0,$B22)+10^-12)))</f>
        <v>0</v>
      </c>
      <c r="AK22" s="229">
        <f ca="1">IF(ACOMPANHAMENTO&lt;&gt;"BM",0,SUMPRODUCT(OFFSET(BM!$M$15,$A22,0,$B22)*(OFFSET(BM!$A$15,$A22,0,$B22)="S")*OFFSET(ORÇAMENTO!AB$15,$A22,0,$B22)/(OFFSET(ORÇAMENTO!$X$15,$A22,0,$B22)+10^-12)))</f>
        <v>0</v>
      </c>
      <c r="AL22" s="229">
        <f ca="1">IF(ACOMPANHAMENTO&lt;&gt;"BM",0,OFFSET(BM!$M$15,$A22,0))</f>
        <v>0</v>
      </c>
      <c r="AM22" s="229">
        <f ca="1">IF(ACOMPANHAMENTO&lt;&gt;"BM",0,SUMPRODUCT(OFFSET(BM!$O$15,$A22,0,$B22)*(OFFSET(BM!$A$15,$A22,0,$B22)="S")*OFFSET(ORÇAMENTO!AA$15,$A22,0,$B22)/(OFFSET(ORÇAMENTO!$X$15,$A22,0,$B22)+10^-12)))</f>
        <v>0</v>
      </c>
      <c r="AN22" s="229">
        <f ca="1">IF(ACOMPANHAMENTO&lt;&gt;"BM",0,SUMPRODUCT(OFFSET(BM!$O$15,$A22,0,$B22)*(OFFSET(BM!$A$15,$A22,0,$B22)="S")*OFFSET(ORÇAMENTO!AB$15,$A22,0,$B22)/(OFFSET(ORÇAMENTO!$X$15,$A22,0,$B22)+10^-12)))</f>
        <v>0</v>
      </c>
      <c r="AO22" s="229">
        <f ca="1">IF(ACOMPANHAMENTO&lt;&gt;"BM",0,OFFSET(BM!$O$15,$A22,0))</f>
        <v>0</v>
      </c>
    </row>
    <row r="23" spans="1:41" ht="12.95" customHeight="1" x14ac:dyDescent="0.2">
      <c r="D23" t="s">
        <v>248</v>
      </c>
      <c r="E23" s="1"/>
      <c r="F23" s="1"/>
      <c r="G23" s="1"/>
      <c r="H23" s="1"/>
      <c r="I23" s="2"/>
      <c r="J23" s="793" t="s">
        <v>378</v>
      </c>
      <c r="K23" s="794"/>
      <c r="L23" s="470">
        <f ca="1">IF(ISERROR(L27/$L27),0,ROUND(L27/$L27,4))</f>
        <v>1</v>
      </c>
      <c r="M23" s="472">
        <f ca="1">IF(ISERROR(M27/$L27),0,ROUND(M27/$L27,4))</f>
        <v>0</v>
      </c>
      <c r="N23" s="471">
        <f ca="1">IF(ISERROR(N27/$L27),0,ROUND(N27/$L27,4))</f>
        <v>0</v>
      </c>
      <c r="O23" s="473">
        <f ca="1">IF(ISERROR(O27/$L27),0,ROUND(O27/$L27,4))</f>
        <v>0</v>
      </c>
      <c r="P23" s="795">
        <f ca="1">O27/(L27+10^-12)</f>
        <v>0</v>
      </c>
      <c r="X23" s="474"/>
      <c r="Y23" s="475"/>
      <c r="Z23" s="476"/>
    </row>
    <row r="24" spans="1:41" ht="12.95" customHeight="1" x14ac:dyDescent="0.2">
      <c r="D24" t="s">
        <v>248</v>
      </c>
      <c r="E24" s="524"/>
      <c r="F24" s="524"/>
      <c r="G24" s="524"/>
      <c r="H24" s="524"/>
      <c r="I24" s="5"/>
      <c r="J24" s="796" t="str">
        <f>IF(import.recurso="FGTS","Financiamento","Repasse")</f>
        <v>Repasse</v>
      </c>
      <c r="K24" s="797"/>
      <c r="L24" s="477">
        <f ca="1">QCI!L23</f>
        <v>481104</v>
      </c>
      <c r="M24" s="478">
        <f ca="1">M27-M26-M25</f>
        <v>0</v>
      </c>
      <c r="N24" s="479">
        <f ca="1">O24-M24</f>
        <v>0</v>
      </c>
      <c r="O24" s="480">
        <f ca="1">O27-O26-O25</f>
        <v>0</v>
      </c>
      <c r="P24" s="795"/>
      <c r="X24" s="481"/>
      <c r="Y24" s="482" t="s">
        <v>379</v>
      </c>
      <c r="Z24" s="483" t="s">
        <v>380</v>
      </c>
      <c r="AC24" s="484" t="s">
        <v>381</v>
      </c>
      <c r="AD24" s="484" t="s">
        <v>382</v>
      </c>
    </row>
    <row r="25" spans="1:41" ht="12.95" customHeight="1" x14ac:dyDescent="0.2">
      <c r="D25" t="s">
        <v>248</v>
      </c>
      <c r="E25" s="524"/>
      <c r="F25" s="524"/>
      <c r="G25" s="524"/>
      <c r="H25" s="524"/>
      <c r="I25" s="5"/>
      <c r="J25" s="798" t="s">
        <v>383</v>
      </c>
      <c r="K25" s="799"/>
      <c r="L25" s="485">
        <f ca="1">QCI!M23</f>
        <v>20044.52</v>
      </c>
      <c r="M25" s="486">
        <f ca="1">ROUND(IF(OFFSET($X$25,0,1)&lt;&gt;"",OFFSET($X$25,0,1),SUM(R13:OFFSET(R23,-1,0))),2)</f>
        <v>0</v>
      </c>
      <c r="N25" s="487">
        <f ca="1">O25-M25</f>
        <v>0</v>
      </c>
      <c r="O25" s="488">
        <f ca="1">IF(OFFSET($X$25,0,2)&lt;&gt;"",OFFSET($X$25,0,2),$AE$3)</f>
        <v>0</v>
      </c>
      <c r="P25" s="795"/>
      <c r="X25" s="489" t="s">
        <v>171</v>
      </c>
      <c r="Y25" s="617"/>
      <c r="Z25" s="618"/>
      <c r="AC25" s="490">
        <f ca="1">MIN($L25,$O$27-OFFSET($X$26,0,1))</f>
        <v>0</v>
      </c>
      <c r="AD25" s="490">
        <f ca="1">MIN($L25,$O$27-OFFSET($X$26,0,2))</f>
        <v>0</v>
      </c>
    </row>
    <row r="26" spans="1:41" ht="12.95" customHeight="1" x14ac:dyDescent="0.2">
      <c r="D26" t="s">
        <v>248</v>
      </c>
      <c r="E26" s="524"/>
      <c r="F26" s="524"/>
      <c r="G26" s="524"/>
      <c r="H26" s="524"/>
      <c r="I26" s="5"/>
      <c r="J26" s="800" t="s">
        <v>360</v>
      </c>
      <c r="K26" s="801"/>
      <c r="L26" s="491">
        <f ca="1">QCI!N23</f>
        <v>0</v>
      </c>
      <c r="M26" s="492">
        <f ca="1">ROUND(IF(OFFSET($X$26,0,1)&lt;&gt;"",OFFSET($X$26,0,1),SUM(S13:OFFSET(S23,-1,0))),2)</f>
        <v>0</v>
      </c>
      <c r="N26" s="493">
        <f ca="1">O26-M26</f>
        <v>0</v>
      </c>
      <c r="O26" s="494">
        <f ca="1">IF(OFFSET($X$26,0,2)&lt;&gt;"",OFFSET($X$26,0,2),$AE$4)</f>
        <v>0</v>
      </c>
      <c r="P26" s="795"/>
      <c r="X26" s="495" t="s">
        <v>280</v>
      </c>
      <c r="Y26" s="619"/>
      <c r="Z26" s="620"/>
      <c r="AC26" s="490">
        <f ca="1">MIN($L26,$O$27-OFFSET($X$25,0,1))</f>
        <v>0</v>
      </c>
      <c r="AD26" s="490">
        <f ca="1">MIN($L26,$O$27-OFFSET($X$25,0,2))</f>
        <v>0</v>
      </c>
    </row>
    <row r="27" spans="1:41" ht="15" x14ac:dyDescent="0.2">
      <c r="D27" t="s">
        <v>248</v>
      </c>
      <c r="E27" s="524"/>
      <c r="F27" s="524"/>
      <c r="G27" s="524"/>
      <c r="H27" s="524"/>
      <c r="I27" s="5"/>
      <c r="J27" s="802" t="s">
        <v>362</v>
      </c>
      <c r="K27" s="803"/>
      <c r="L27" s="496">
        <f ca="1">SUM(L13:OFFSET(L23,-1,0))</f>
        <v>501148.51558840001</v>
      </c>
      <c r="M27" s="497">
        <f ca="1">ROUND(SUM(M13:OFFSET(M23,-1,0)),2)</f>
        <v>0</v>
      </c>
      <c r="N27" s="498">
        <f ca="1">O27-M27</f>
        <v>0</v>
      </c>
      <c r="O27" s="499">
        <f ca="1">SUM(O13:OFFSET(O23,-1,0))</f>
        <v>0</v>
      </c>
      <c r="P27" s="795"/>
      <c r="X27" s="500"/>
      <c r="Y27" s="501"/>
      <c r="Z27" s="502"/>
    </row>
    <row r="28" spans="1:41" x14ac:dyDescent="0.2">
      <c r="O28" s="804" t="str">
        <f ca="1">"Acumulado Anterior:  "&amp;TEXT($M$27/($L$27+10^-12),"0,00%")</f>
        <v>Acumulado Anterior:  0,00%</v>
      </c>
      <c r="P28" s="804"/>
    </row>
    <row r="29" spans="1:41" ht="14.25" x14ac:dyDescent="0.2">
      <c r="E29" s="166" t="s">
        <v>189</v>
      </c>
      <c r="F29" s="101"/>
      <c r="G29" s="101"/>
      <c r="H29" s="101"/>
      <c r="I29" s="101"/>
      <c r="J29" s="101"/>
      <c r="K29" s="101"/>
      <c r="M29" s="101"/>
      <c r="N29" s="101"/>
      <c r="P29" s="625"/>
      <c r="R29" s="101"/>
      <c r="S29" s="101"/>
      <c r="T29" s="101"/>
      <c r="U29" s="101"/>
    </row>
    <row r="30" spans="1:41" ht="12.75" customHeight="1" x14ac:dyDescent="0.2">
      <c r="E30" s="786"/>
      <c r="F30" s="787"/>
      <c r="G30" s="787"/>
      <c r="H30" s="787"/>
      <c r="I30" s="787"/>
      <c r="J30" s="787"/>
      <c r="K30" s="787"/>
      <c r="L30" s="787"/>
      <c r="M30" s="787"/>
      <c r="N30" s="787"/>
      <c r="O30" s="787"/>
      <c r="P30" s="788"/>
      <c r="R30" s="101"/>
      <c r="S30" s="101"/>
      <c r="T30" s="101"/>
      <c r="U30" s="101"/>
    </row>
    <row r="31" spans="1:41" ht="12.75" customHeight="1" x14ac:dyDescent="0.2">
      <c r="E31" s="786"/>
      <c r="F31" s="787"/>
      <c r="G31" s="787"/>
      <c r="H31" s="787"/>
      <c r="I31" s="787"/>
      <c r="J31" s="787"/>
      <c r="K31" s="787"/>
      <c r="L31" s="787"/>
      <c r="M31" s="787"/>
      <c r="N31" s="787"/>
      <c r="O31" s="787"/>
      <c r="P31" s="788"/>
      <c r="R31" s="101"/>
      <c r="S31" s="101"/>
      <c r="T31" s="101"/>
      <c r="U31" s="101"/>
      <c r="Y31" s="503"/>
      <c r="Z31" s="503"/>
    </row>
    <row r="32" spans="1:41" ht="12.75" customHeight="1" x14ac:dyDescent="0.2">
      <c r="E32" s="789"/>
      <c r="F32" s="790"/>
      <c r="G32" s="790"/>
      <c r="H32" s="790"/>
      <c r="I32" s="790"/>
      <c r="J32" s="790"/>
      <c r="K32" s="790"/>
      <c r="L32" s="790"/>
      <c r="M32" s="790"/>
      <c r="N32" s="790"/>
      <c r="O32" s="790"/>
      <c r="P32" s="791"/>
      <c r="R32" s="101"/>
      <c r="S32" s="101"/>
      <c r="T32" s="101"/>
      <c r="U32" s="101"/>
    </row>
    <row r="33" spans="5:21" x14ac:dyDescent="0.2">
      <c r="R33" s="101"/>
      <c r="S33" s="101"/>
      <c r="T33" s="101"/>
      <c r="U33" s="101"/>
    </row>
    <row r="34" spans="5:21" ht="15" x14ac:dyDescent="0.2">
      <c r="E34" s="713" t="str">
        <f>Import.Município</f>
        <v>CONCEIÇÃO DOS OUROS/MG</v>
      </c>
      <c r="F34" s="713"/>
      <c r="G34" s="713"/>
      <c r="I34" s="504"/>
      <c r="J34" s="96"/>
      <c r="L34" s="753">
        <f>DADOS!$F$25</f>
        <v>45391</v>
      </c>
      <c r="M34" s="753"/>
      <c r="N34" s="753"/>
      <c r="O34" s="753"/>
      <c r="R34" s="101"/>
      <c r="S34" s="101"/>
      <c r="T34" s="101"/>
      <c r="U34" s="101"/>
    </row>
    <row r="35" spans="5:21" x14ac:dyDescent="0.2">
      <c r="E35" s="12" t="s">
        <v>190</v>
      </c>
      <c r="F35" s="100"/>
      <c r="G35" s="100"/>
      <c r="L35" s="321" t="s">
        <v>191</v>
      </c>
      <c r="R35" s="101"/>
      <c r="S35" s="101"/>
      <c r="T35" s="101"/>
      <c r="U35" s="101"/>
    </row>
    <row r="36" spans="5:21" x14ac:dyDescent="0.2">
      <c r="E36" s="100"/>
      <c r="F36" s="100"/>
      <c r="G36" s="100"/>
      <c r="R36" s="101"/>
      <c r="S36" s="101"/>
      <c r="T36" s="101"/>
      <c r="U36" s="101"/>
    </row>
    <row r="37" spans="5:21" x14ac:dyDescent="0.2">
      <c r="E37" s="224"/>
      <c r="F37" s="224"/>
      <c r="G37" s="224"/>
      <c r="L37" s="224"/>
      <c r="M37" s="224"/>
      <c r="N37" s="224"/>
      <c r="O37" s="224"/>
      <c r="R37" s="101"/>
      <c r="S37" s="101"/>
      <c r="T37" s="101"/>
      <c r="U37" s="101"/>
    </row>
    <row r="38" spans="5:21" x14ac:dyDescent="0.2">
      <c r="E38" s="505" t="str">
        <f>IF(CAIXA.Modo,"Responsável Gerencial CAIXA","Representante Tomador")</f>
        <v>Representante Tomador</v>
      </c>
      <c r="F38" s="9"/>
      <c r="L38" s="505" t="str">
        <f>IF(CAIXA.Modo,"Responsável Técnico CAIXA","Responsável Técnico pela Fiscalização")</f>
        <v>Responsável Técnico pela Fiscalização</v>
      </c>
      <c r="R38" s="101"/>
      <c r="S38" s="101"/>
      <c r="T38" s="101"/>
      <c r="U38" s="101"/>
    </row>
    <row r="39" spans="5:21" x14ac:dyDescent="0.2">
      <c r="E39" s="90" t="s">
        <v>109</v>
      </c>
      <c r="F39" s="349" t="str">
        <f>IF(CAIXA.Modo,DADOS!F59,DADOS!F28)</f>
        <v>LUÍS FERNANDO ROSA DE CASTRO</v>
      </c>
      <c r="L39" s="90" t="s">
        <v>109</v>
      </c>
      <c r="M39" s="792" t="str">
        <f>IF(CAIXA.Modo,BM!X45,DADOS!F50)</f>
        <v>JOSÉ AIRTON JUNHO DOS REIS</v>
      </c>
      <c r="N39" s="792"/>
      <c r="O39" s="792"/>
      <c r="R39" s="101"/>
      <c r="S39" s="101"/>
      <c r="T39" s="101"/>
      <c r="U39" s="101"/>
    </row>
    <row r="40" spans="5:21" x14ac:dyDescent="0.2">
      <c r="E40" s="90" t="str">
        <f>IF(CAIXA.Modo,"Função:","Cargo:")</f>
        <v>Cargo:</v>
      </c>
      <c r="F40" s="349" t="str">
        <f>IF(CAIXA.Modo,DADOS!F60,DADOS!F29)</f>
        <v>PREFEITO MUNICIPAL</v>
      </c>
      <c r="L40" s="90" t="str">
        <f>IF(CAIXA.Modo,"Matrícula:","Profissão:")</f>
        <v>Profissão:</v>
      </c>
      <c r="M40" s="792" t="str">
        <f>IF(CAIXA.Modo,BM!X46,DADOS!F51)</f>
        <v>ENGENHEIRO CIVIL</v>
      </c>
      <c r="N40" s="792"/>
      <c r="O40" s="792"/>
      <c r="R40" s="101"/>
      <c r="S40" s="101"/>
      <c r="T40" s="101"/>
      <c r="U40" s="101"/>
    </row>
    <row r="41" spans="5:21" x14ac:dyDescent="0.2">
      <c r="L41" s="90" t="s">
        <v>110</v>
      </c>
      <c r="M41" s="792" t="str">
        <f>IF(CAIXA.Modo,BM!X47,DADOS!F52)</f>
        <v>56.250/D</v>
      </c>
      <c r="N41" s="792"/>
      <c r="O41" s="792"/>
      <c r="R41" s="101"/>
      <c r="S41" s="101"/>
      <c r="T41" s="101"/>
      <c r="U41" s="101"/>
    </row>
    <row r="42" spans="5:21" x14ac:dyDescent="0.2">
      <c r="L42" s="90" t="str">
        <f>IF(CAIXA.Modo,"","ART/RRT:")</f>
        <v>ART/RRT:</v>
      </c>
      <c r="M42" s="350" t="str">
        <f>IF(CAIXA.Modo,"",DADOS!F53)</f>
        <v>MG20242788680</v>
      </c>
      <c r="R42" s="101"/>
      <c r="S42" s="101"/>
      <c r="T42" s="101"/>
      <c r="U42" s="101"/>
    </row>
    <row r="43" spans="5:21" x14ac:dyDescent="0.2">
      <c r="R43" s="101"/>
      <c r="S43" s="101"/>
      <c r="T43" s="101"/>
      <c r="U43" s="101"/>
    </row>
    <row r="44" spans="5:21" x14ac:dyDescent="0.2">
      <c r="E44" s="224"/>
      <c r="F44" s="224"/>
      <c r="G44" s="224"/>
      <c r="L44" s="224"/>
      <c r="M44" s="224"/>
      <c r="N44" s="224"/>
      <c r="O44" s="224"/>
      <c r="R44" s="101"/>
      <c r="S44" s="101"/>
      <c r="T44" s="101"/>
      <c r="U44" s="101"/>
    </row>
    <row r="45" spans="5:21" x14ac:dyDescent="0.2">
      <c r="E45" t="str">
        <f>IF(CAIXA.Modo,"Responsável Social CAIXA","Responsável Social")</f>
        <v>Responsável Social</v>
      </c>
      <c r="L45" t="str">
        <f>IF(CAIXA.Modo,"Responsável Operacional CAIXA","Responsável Financeiro")</f>
        <v>Responsável Financeiro</v>
      </c>
      <c r="R45" s="101"/>
      <c r="S45" s="101"/>
      <c r="T45" s="101"/>
      <c r="U45" s="101"/>
    </row>
    <row r="46" spans="5:21" x14ac:dyDescent="0.2">
      <c r="E46" s="90" t="s">
        <v>109</v>
      </c>
      <c r="F46" s="767"/>
      <c r="G46" s="767"/>
      <c r="L46" s="90" t="s">
        <v>109</v>
      </c>
      <c r="M46" s="767"/>
      <c r="N46" s="767"/>
      <c r="O46" s="767"/>
      <c r="R46" s="101"/>
      <c r="S46" s="101"/>
      <c r="T46" s="101"/>
      <c r="U46" s="101"/>
    </row>
    <row r="47" spans="5:21" x14ac:dyDescent="0.2">
      <c r="E47" s="90" t="str">
        <f>IF(CAIXA.Modo,"Função:","Cargo:")</f>
        <v>Cargo:</v>
      </c>
      <c r="F47" s="767"/>
      <c r="G47" s="767"/>
      <c r="L47" s="90" t="str">
        <f>IF(CAIXA.Modo,"Função:","Cargo:")</f>
        <v>Cargo:</v>
      </c>
      <c r="M47" s="767"/>
      <c r="N47" s="767"/>
      <c r="O47" s="767"/>
      <c r="R47" s="101"/>
      <c r="S47" s="101"/>
      <c r="T47" s="101"/>
      <c r="U47" s="101"/>
    </row>
    <row r="48" spans="5:21" x14ac:dyDescent="0.2">
      <c r="E48" s="90" t="str">
        <f>IF(CAIXA.Modo,"Matr:","")</f>
        <v/>
      </c>
      <c r="F48" s="767"/>
      <c r="G48" s="767"/>
      <c r="L48" s="90" t="str">
        <f>IF(CAIXA.Modo,"Matrícula:","")</f>
        <v/>
      </c>
      <c r="M48" s="767"/>
      <c r="N48" s="767"/>
      <c r="O48" s="767"/>
      <c r="R48" s="101"/>
      <c r="S48" s="101"/>
      <c r="T48" s="101"/>
      <c r="U48" s="101"/>
    </row>
    <row r="49" spans="18:21" x14ac:dyDescent="0.2">
      <c r="R49" s="101"/>
      <c r="S49" s="101"/>
      <c r="T49" s="101"/>
      <c r="U49" s="101"/>
    </row>
    <row r="50" spans="18:21" x14ac:dyDescent="0.2">
      <c r="R50" s="101"/>
      <c r="S50" s="101"/>
      <c r="T50" s="101"/>
      <c r="U50" s="101"/>
    </row>
    <row r="51" spans="18:21" x14ac:dyDescent="0.2">
      <c r="R51" s="101"/>
      <c r="S51" s="101"/>
      <c r="T51" s="101"/>
      <c r="U51" s="101"/>
    </row>
  </sheetData>
  <sheetProtection password="BD1F" sheet="1" objects="1" scenarios="1" autoFilter="0"/>
  <autoFilter ref="D13:D29"/>
  <mergeCells count="40">
    <mergeCell ref="E6:H6"/>
    <mergeCell ref="I6:L6"/>
    <mergeCell ref="E3:H3"/>
    <mergeCell ref="I3:K3"/>
    <mergeCell ref="E4:H4"/>
    <mergeCell ref="I4:K4"/>
    <mergeCell ref="D7:D11"/>
    <mergeCell ref="E7:H7"/>
    <mergeCell ref="I7:L7"/>
    <mergeCell ref="G9:H9"/>
    <mergeCell ref="I9:J9"/>
    <mergeCell ref="L9:L10"/>
    <mergeCell ref="G10:H10"/>
    <mergeCell ref="AC10:AH10"/>
    <mergeCell ref="AJ10:AO10"/>
    <mergeCell ref="Y11:Z11"/>
    <mergeCell ref="AC11:AE11"/>
    <mergeCell ref="AF11:AH11"/>
    <mergeCell ref="AJ11:AL11"/>
    <mergeCell ref="AM11:AO11"/>
    <mergeCell ref="F46:G46"/>
    <mergeCell ref="F47:G47"/>
    <mergeCell ref="J23:K23"/>
    <mergeCell ref="P23:P27"/>
    <mergeCell ref="J24:K24"/>
    <mergeCell ref="J25:K25"/>
    <mergeCell ref="J26:K26"/>
    <mergeCell ref="J27:K27"/>
    <mergeCell ref="O28:P28"/>
    <mergeCell ref="M47:O47"/>
    <mergeCell ref="M4:O4"/>
    <mergeCell ref="M48:O48"/>
    <mergeCell ref="E30:P32"/>
    <mergeCell ref="L34:O34"/>
    <mergeCell ref="M39:O39"/>
    <mergeCell ref="M40:O40"/>
    <mergeCell ref="M41:O41"/>
    <mergeCell ref="M46:O46"/>
    <mergeCell ref="F48:G48"/>
    <mergeCell ref="E34:G34"/>
  </mergeCells>
  <phoneticPr fontId="40" type="noConversion"/>
  <conditionalFormatting sqref="X12:Z12 X14:Z21">
    <cfRule type="expression" dxfId="6" priority="74" stopIfTrue="1">
      <formula>OR($C12="Automático",$C12="Branco")</formula>
    </cfRule>
  </conditionalFormatting>
  <conditionalFormatting sqref="F48:G48 M48:O48">
    <cfRule type="expression" dxfId="5" priority="75" stopIfTrue="1">
      <formula>CAIXA.Modo=FALSE</formula>
    </cfRule>
  </conditionalFormatting>
  <conditionalFormatting sqref="M12 M24:M27 O12 O24:O27 M14:M21 O14:O21">
    <cfRule type="cellIs" dxfId="4" priority="76" stopIfTrue="1" operator="notBetween">
      <formula>0</formula>
      <formula>$L12</formula>
    </cfRule>
  </conditionalFormatting>
  <conditionalFormatting sqref="M10:N10">
    <cfRule type="cellIs" dxfId="3" priority="77" stopIfTrue="1" operator="lessThan">
      <formula>0</formula>
    </cfRule>
  </conditionalFormatting>
  <conditionalFormatting sqref="X22:Z22">
    <cfRule type="expression" dxfId="2" priority="1" stopIfTrue="1">
      <formula>OR($C22="Automático",$C22="Branco")</formula>
    </cfRule>
  </conditionalFormatting>
  <conditionalFormatting sqref="M22 O22">
    <cfRule type="cellIs" dxfId="1" priority="2" stopIfTrue="1" operator="notBetween">
      <formula>0</formula>
      <formula>$L22</formula>
    </cfRule>
  </conditionalFormatting>
  <dataValidations disablePrompts="1" count="5">
    <dataValidation type="decimal" errorStyle="warning" allowBlank="1" showInputMessage="1" showErrorMessage="1" errorTitle="Erro de valor" error="Valor menor que 0,00 ou maior que o valor da Contrapartida/Outros." promptTitle="Contrapartida Anterior:" prompt="Deixe essa célula em branco para o cálculo automático. Preencha somente para valores de CP diferentes do previsto." sqref="Y25">
      <formula1>0</formula1>
      <formula2>RRE.MaxCPAnt</formula2>
    </dataValidation>
    <dataValidation type="decimal" errorStyle="warning" allowBlank="1" showInputMessage="1" showErrorMessage="1" errorTitle="Erro de valor" error="Valor menor que 0,00 ou maior que o valor da Contrapartida/Outros." promptTitle="Contrapartida Acumulada:" prompt="Deixe essa célula em branco para o cálculo automático. Preencha somente para valores de CP diferentes do previsto." sqref="Z25">
      <formula1>0</formula1>
      <formula2>RRE.MaxCPAcum</formula2>
    </dataValidation>
    <dataValidation type="decimal" errorStyle="warning" allowBlank="1" showInputMessage="1" showErrorMessage="1" errorTitle="Erro de valor" error="Valor menor que 0,00 ou maior que o valor da Contrapartida/Outros." promptTitle="Outros Anterior:" prompt="Deixe essa célula em branco para o cálculo automático. Preencha somente para valores de Outros diferentes do previsto." sqref="Y26">
      <formula1>0</formula1>
      <formula2>RRE.MaxOUAnt</formula2>
    </dataValidation>
    <dataValidation type="decimal" errorStyle="warning" allowBlank="1" showInputMessage="1" showErrorMessage="1" errorTitle="Erro de valor" error="Valor menor que 0,00 ou maior que o valor da Contrapartida/Outros." promptTitle="Outros Acumulada:" prompt="Deixe essa célula em branco para o cálculo automático. Preencha somente para valores de Outros diferentes do previsto." sqref="Z26">
      <formula1>0</formula1>
      <formula2>RRE.MaxOUAcum</formula2>
    </dataValidation>
    <dataValidation type="decimal" allowBlank="1" showInputMessage="1" showErrorMessage="1" sqref="Y12:Z12 Y14:Z22">
      <formula1>0</formula1>
      <formula2>RRE.VIMeta</formula2>
    </dataValidation>
  </dataValidations>
  <pageMargins left="0.78740157480314998" right="0.78740157480314998" top="0.78740157480314998" bottom="0.78740157480314998" header="0.59055118110236204" footer="0.59055118110236204"/>
  <pageSetup paperSize="9" scale="73" firstPageNumber="0" fitToHeight="0" orientation="landscape" horizontalDpi="300" verticalDpi="300" r:id="rId1"/>
  <headerFooter alignWithMargins="0">
    <oddHeader>&amp;L_&amp;C&amp;14I</oddHeader>
    <oddFooter>&amp;LPMv3.0.4&amp;R&amp;P / &amp;N</oddFooter>
  </headerFooter>
  <colBreaks count="1" manualBreakCount="1">
    <brk id="15" max="1048575" man="1"/>
  </colBreak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A1:Q56"/>
  <sheetViews>
    <sheetView showGridLines="0" zoomScale="90" zoomScaleNormal="90" zoomScaleSheetLayoutView="100" workbookViewId="0"/>
  </sheetViews>
  <sheetFormatPr defaultRowHeight="12.75" x14ac:dyDescent="0.2"/>
  <cols>
    <col min="1" max="1" width="2" style="100" customWidth="1"/>
    <col min="2" max="2" width="15.7109375" style="100" customWidth="1"/>
    <col min="3" max="3" width="6.7109375" style="100" customWidth="1"/>
    <col min="4" max="5" width="20.7109375" style="100" customWidth="1"/>
    <col min="6" max="6" width="8.7109375" style="100" customWidth="1"/>
    <col min="7" max="7" width="12.7109375" style="100" customWidth="1"/>
    <col min="8" max="8" width="20.7109375" customWidth="1"/>
    <col min="9" max="9" width="13.7109375" customWidth="1"/>
    <col min="10" max="12" width="16.7109375" customWidth="1"/>
    <col min="14" max="14" width="14.140625" customWidth="1"/>
  </cols>
  <sheetData>
    <row r="1" spans="2:17" x14ac:dyDescent="0.2">
      <c r="B1" s="833"/>
      <c r="C1" s="833"/>
      <c r="D1" s="61"/>
      <c r="E1" s="61"/>
      <c r="F1" s="61"/>
      <c r="G1" s="64" t="s">
        <v>141</v>
      </c>
    </row>
    <row r="2" spans="2:17" x14ac:dyDescent="0.2">
      <c r="B2" s="833"/>
      <c r="C2" s="833"/>
      <c r="D2" s="506"/>
      <c r="E2" s="506"/>
      <c r="F2" s="506"/>
      <c r="G2" s="14" t="s">
        <v>384</v>
      </c>
    </row>
    <row r="3" spans="2:17" ht="26.1" customHeight="1" thickBot="1" x14ac:dyDescent="0.25">
      <c r="B3" s="833"/>
      <c r="C3" s="833"/>
      <c r="D3" s="507"/>
      <c r="E3" s="507"/>
      <c r="F3" s="507"/>
      <c r="G3" s="508"/>
      <c r="I3" s="509" t="s">
        <v>385</v>
      </c>
      <c r="J3" s="172"/>
      <c r="K3" s="172"/>
      <c r="L3" s="172"/>
    </row>
    <row r="4" spans="2:17" ht="12.75" customHeight="1" x14ac:dyDescent="0.2">
      <c r="B4" s="833"/>
      <c r="C4" s="833"/>
      <c r="D4" s="506"/>
      <c r="E4" s="506"/>
      <c r="F4" s="506"/>
      <c r="G4" s="506"/>
      <c r="I4" s="834" t="s">
        <v>386</v>
      </c>
      <c r="J4" s="836" t="s">
        <v>387</v>
      </c>
      <c r="K4" s="836" t="s">
        <v>388</v>
      </c>
      <c r="L4" s="829" t="s">
        <v>389</v>
      </c>
    </row>
    <row r="5" spans="2:17" x14ac:dyDescent="0.2">
      <c r="I5" s="835"/>
      <c r="J5" s="837"/>
      <c r="K5" s="837"/>
      <c r="L5" s="830"/>
    </row>
    <row r="6" spans="2:17" x14ac:dyDescent="0.2">
      <c r="B6" s="510" t="s">
        <v>390</v>
      </c>
      <c r="C6" s="831"/>
      <c r="D6" s="831"/>
      <c r="E6" s="510"/>
      <c r="F6" s="510"/>
      <c r="G6" s="61"/>
      <c r="I6" s="602" t="str">
        <f ca="1">IF(ROW(I6)-ROW(L$5)&gt;MAX(RRE!$V$13:$V$23),"",INDEX(RRE!$J$13:$J$23,MATCH(ROW(I6)-ROW(I$5),RRE!$V$13:$V$23,0)))</f>
        <v>LOTE 1</v>
      </c>
      <c r="J6" s="603">
        <f ca="1">IF(I6="","",SUMIF(RRE!$J$13:$J$23,OFÍCIO!$I6,RRE!$L$13:$L$23))</f>
        <v>501148.51558840001</v>
      </c>
      <c r="K6" s="603">
        <f ca="1">IF(J6="","",SUMIF(RRE!$J$13:$J$23,OFÍCIO!$I6,RRE!$N$13:$N$23))</f>
        <v>0</v>
      </c>
      <c r="L6" s="604">
        <f ca="1">IF(K6="","",SUMIF(RRE!$J$13:$J$23,OFÍCIO!$I6,RRE!$O$13:$O$23))</f>
        <v>0</v>
      </c>
      <c r="N6" s="12"/>
    </row>
    <row r="7" spans="2:17" x14ac:dyDescent="0.2">
      <c r="B7" s="511"/>
      <c r="C7" s="511"/>
      <c r="D7" s="506"/>
      <c r="E7" s="506"/>
      <c r="F7" s="506"/>
      <c r="G7" s="506"/>
      <c r="I7" s="596" t="str">
        <f ca="1">IF(ROW(I7)-ROW(L$5)&gt;MAX(RRE!$V$13:$V$23),"",INDEX(RRE!$J$13:$J$23,MATCH(ROW(I7)-ROW(I$5),RRE!$V$13:$V$23,0)))</f>
        <v/>
      </c>
      <c r="J7" s="597" t="str">
        <f ca="1">IF(I7="","",SUMIF(RRE!$J$13:$J$23,OFÍCIO!$I7,RRE!$L$13:$L$23))</f>
        <v/>
      </c>
      <c r="K7" s="597" t="str">
        <f ca="1">IF(J7="","",SUMIF(RRE!$J$13:$J$23,OFÍCIO!$I7,RRE!$N$13:$N$23))</f>
        <v/>
      </c>
      <c r="L7" s="598" t="str">
        <f ca="1">IF(K7="","",SUMIF(RRE!$J$13:$J$23,OFÍCIO!$I7,RRE!$O$13:$O$23))</f>
        <v/>
      </c>
    </row>
    <row r="8" spans="2:17" x14ac:dyDescent="0.2">
      <c r="B8" s="832" t="str">
        <f>CONCATENATE(RRE!$E$34,", ",TEXT(RRE!$L$34,"dd"" de ""mmmm"" de ""aaaa"))</f>
        <v>CONCEIÇÃO DOS OUROS/MG, 09 de abril de 2024</v>
      </c>
      <c r="C8" s="832"/>
      <c r="D8" s="832"/>
      <c r="E8" s="832"/>
      <c r="F8" s="832"/>
      <c r="G8" s="832"/>
      <c r="H8" s="512"/>
      <c r="I8" s="596" t="str">
        <f ca="1">IF(ROW(I8)-ROW(L$5)&gt;MAX(RRE!$V$13:$V$23),"",INDEX(RRE!$J$13:$J$23,MATCH(ROW(I8)-ROW(I$5),RRE!$V$13:$V$23,0)))</f>
        <v/>
      </c>
      <c r="J8" s="597" t="str">
        <f ca="1">IF(I8="","",SUMIF(RRE!$J$13:$J$23,OFÍCIO!$I8,RRE!$L$13:$L$23))</f>
        <v/>
      </c>
      <c r="K8" s="597" t="str">
        <f ca="1">IF(J8="","",SUMIF(RRE!$J$13:$J$23,OFÍCIO!$I8,RRE!$N$13:$N$23))</f>
        <v/>
      </c>
      <c r="L8" s="598" t="str">
        <f ca="1">IF(K8="","",SUMIF(RRE!$J$13:$J$23,OFÍCIO!$I8,RRE!$O$13:$O$23))</f>
        <v/>
      </c>
      <c r="N8" s="512"/>
      <c r="O8" s="512"/>
      <c r="P8" s="512"/>
      <c r="Q8" s="512"/>
    </row>
    <row r="9" spans="2:17" x14ac:dyDescent="0.2">
      <c r="B9" s="513" t="s">
        <v>391</v>
      </c>
      <c r="C9" s="61"/>
      <c r="D9" s="61"/>
      <c r="G9" s="61"/>
      <c r="H9" s="512"/>
      <c r="I9" s="596" t="str">
        <f ca="1">IF(ROW(I9)-ROW(L$5)&gt;MAX(RRE!$V$13:$V$23),"",INDEX(RRE!$J$13:$J$23,MATCH(ROW(I9)-ROW(I$5),RRE!$V$13:$V$23,0)))</f>
        <v/>
      </c>
      <c r="J9" s="597" t="str">
        <f ca="1">IF(I9="","",SUMIF(RRE!$J$13:$J$23,OFÍCIO!$I9,RRE!$L$13:$L$23))</f>
        <v/>
      </c>
      <c r="K9" s="597" t="str">
        <f ca="1">IF(J9="","",SUMIF(RRE!$J$13:$J$23,OFÍCIO!$I9,RRE!$N$13:$N$23))</f>
        <v/>
      </c>
      <c r="L9" s="598" t="str">
        <f ca="1">IF(K9="","",SUMIF(RRE!$J$13:$J$23,OFÍCIO!$I9,RRE!$O$13:$O$23))</f>
        <v/>
      </c>
      <c r="N9" s="512"/>
      <c r="O9" s="512"/>
      <c r="P9" s="512"/>
      <c r="Q9" s="512"/>
    </row>
    <row r="10" spans="2:17" x14ac:dyDescent="0.2">
      <c r="B10" s="826" t="s">
        <v>392</v>
      </c>
      <c r="C10" s="826"/>
      <c r="D10" s="826"/>
      <c r="G10" s="61"/>
      <c r="H10" s="512"/>
      <c r="I10" s="596" t="str">
        <f ca="1">IF(ROW(I10)-ROW(L$5)&gt;MAX(RRE!$V$13:$V$23),"",INDEX(RRE!$J$13:$J$23,MATCH(ROW(I10)-ROW(I$5),RRE!$V$13:$V$23,0)))</f>
        <v/>
      </c>
      <c r="J10" s="597" t="str">
        <f ca="1">IF(I10="","",SUMIF(RRE!$J$13:$J$23,OFÍCIO!$I10,RRE!$L$13:$L$23))</f>
        <v/>
      </c>
      <c r="K10" s="597" t="str">
        <f ca="1">IF(J10="","",SUMIF(RRE!$J$13:$J$23,OFÍCIO!$I10,RRE!$N$13:$N$23))</f>
        <v/>
      </c>
      <c r="L10" s="598" t="str">
        <f ca="1">IF(K10="","",SUMIF(RRE!$J$13:$J$23,OFÍCIO!$I10,RRE!$O$13:$O$23))</f>
        <v/>
      </c>
      <c r="N10" s="512"/>
      <c r="O10" s="512"/>
      <c r="P10" s="512"/>
      <c r="Q10" s="512"/>
    </row>
    <row r="11" spans="2:17" x14ac:dyDescent="0.2">
      <c r="B11" s="514" t="s">
        <v>411</v>
      </c>
      <c r="C11" s="825"/>
      <c r="D11" s="825"/>
      <c r="G11" s="61"/>
      <c r="H11" s="512"/>
      <c r="I11" s="596" t="str">
        <f ca="1">IF(ROW(I11)-ROW(L$5)&gt;MAX(RRE!$V$13:$V$23),"",INDEX(RRE!$J$13:$J$23,MATCH(ROW(I11)-ROW(I$5),RRE!$V$13:$V$23,0)))</f>
        <v/>
      </c>
      <c r="J11" s="597" t="str">
        <f ca="1">IF(I11="","",SUMIF(RRE!$J$13:$J$23,OFÍCIO!$I11,RRE!$L$13:$L$23))</f>
        <v/>
      </c>
      <c r="K11" s="597" t="str">
        <f ca="1">IF(J11="","",SUMIF(RRE!$J$13:$J$23,OFÍCIO!$I11,RRE!$N$13:$N$23))</f>
        <v/>
      </c>
      <c r="L11" s="598" t="str">
        <f ca="1">IF(K11="","",SUMIF(RRE!$J$13:$J$23,OFÍCIO!$I11,RRE!$O$13:$O$23))</f>
        <v/>
      </c>
      <c r="N11" s="512"/>
      <c r="O11" s="512"/>
      <c r="P11" s="512"/>
      <c r="Q11" s="512"/>
    </row>
    <row r="12" spans="2:17" x14ac:dyDescent="0.2">
      <c r="B12" s="515"/>
      <c r="C12" s="515"/>
      <c r="D12" s="515"/>
      <c r="E12" s="515"/>
      <c r="F12" s="515"/>
      <c r="G12" s="61"/>
      <c r="H12" s="512"/>
      <c r="I12" s="596" t="str">
        <f ca="1">IF(ROW(I12)-ROW(L$5)&gt;MAX(RRE!$V$13:$V$23),"",INDEX(RRE!$J$13:$J$23,MATCH(ROW(I12)-ROW(I$5),RRE!$V$13:$V$23,0)))</f>
        <v/>
      </c>
      <c r="J12" s="597" t="str">
        <f ca="1">IF(I12="","",SUMIF(RRE!$J$13:$J$23,OFÍCIO!$I12,RRE!$L$13:$L$23))</f>
        <v/>
      </c>
      <c r="K12" s="597" t="str">
        <f ca="1">IF(J12="","",SUMIF(RRE!$J$13:$J$23,OFÍCIO!$I12,RRE!$N$13:$N$23))</f>
        <v/>
      </c>
      <c r="L12" s="598" t="str">
        <f ca="1">IF(K12="","",SUMIF(RRE!$J$13:$J$23,OFÍCIO!$I12,RRE!$O$13:$O$23))</f>
        <v/>
      </c>
      <c r="N12" s="512"/>
      <c r="O12" s="512"/>
      <c r="P12" s="512"/>
      <c r="Q12" s="512"/>
    </row>
    <row r="13" spans="2:17" x14ac:dyDescent="0.2">
      <c r="B13" s="61"/>
      <c r="C13" s="61"/>
      <c r="D13" s="61"/>
      <c r="E13" s="61"/>
      <c r="F13" s="61"/>
      <c r="G13" s="61"/>
      <c r="I13" s="596" t="str">
        <f ca="1">IF(ROW(I13)-ROW(L$5)&gt;MAX(RRE!$V$13:$V$23),"",INDEX(RRE!$J$13:$J$23,MATCH(ROW(I13)-ROW(I$5),RRE!$V$13:$V$23,0)))</f>
        <v/>
      </c>
      <c r="J13" s="597" t="str">
        <f ca="1">IF(I13="","",SUMIF(RRE!$J$13:$J$23,OFÍCIO!$I13,RRE!$L$13:$L$23))</f>
        <v/>
      </c>
      <c r="K13" s="597" t="str">
        <f ca="1">IF(J13="","",SUMIF(RRE!$J$13:$J$23,OFÍCIO!$I13,RRE!$N$13:$N$23))</f>
        <v/>
      </c>
      <c r="L13" s="598" t="str">
        <f ca="1">IF(K13="","",SUMIF(RRE!$J$13:$J$23,OFÍCIO!$I13,RRE!$O$13:$O$23))</f>
        <v/>
      </c>
    </row>
    <row r="14" spans="2:17" x14ac:dyDescent="0.2">
      <c r="B14" s="513" t="s">
        <v>393</v>
      </c>
      <c r="C14" s="826" t="str">
        <f ca="1">CONCATENATE(RRE.Numero,"ª"," Solicitação de ",IF(import.recurso="OGU","Desbloqueio","Desembolso")," de Recursos.")</f>
        <v>1ª Solicitação de Desbloqueio de Recursos.</v>
      </c>
      <c r="D14" s="826"/>
      <c r="E14" s="826"/>
      <c r="F14" s="826"/>
      <c r="G14" s="826"/>
      <c r="I14" s="596" t="str">
        <f ca="1">IF(ROW(I14)-ROW(L$5)&gt;MAX(RRE!$V$13:$V$23),"",INDEX(RRE!$J$13:$J$23,MATCH(ROW(I14)-ROW(I$5),RRE!$V$13:$V$23,0)))</f>
        <v/>
      </c>
      <c r="J14" s="597" t="str">
        <f ca="1">IF(I14="","",SUMIF(RRE!$J$13:$J$23,OFÍCIO!$I14,RRE!$L$13:$L$23))</f>
        <v/>
      </c>
      <c r="K14" s="597" t="str">
        <f ca="1">IF(J14="","",SUMIF(RRE!$J$13:$J$23,OFÍCIO!$I14,RRE!$N$13:$N$23))</f>
        <v/>
      </c>
      <c r="L14" s="598" t="str">
        <f ca="1">IF(K14="","",SUMIF(RRE!$J$13:$J$23,OFÍCIO!$I14,RRE!$O$13:$O$23))</f>
        <v/>
      </c>
    </row>
    <row r="15" spans="2:17" ht="12.75" customHeight="1" x14ac:dyDescent="0.2">
      <c r="B15" s="513" t="s">
        <v>394</v>
      </c>
      <c r="C15" s="827" t="str">
        <f>CONCATENATE("Contrato de ",IF(import.recurso="OGU","Repasse","Financiamento")," - Operação nº ",Import.CR,IF(Import.SICONV="","",CONCATENATE(" - SICONV nº ",Import.SICONV)))</f>
        <v>Contrato de Repasse - Operação nº 1090.502-01/2023 - SICONV nº 950338/2023</v>
      </c>
      <c r="D15" s="827"/>
      <c r="E15" s="827"/>
      <c r="F15" s="827"/>
      <c r="G15" s="827"/>
      <c r="I15" s="596" t="str">
        <f ca="1">IF(ROW(I15)-ROW(L$5)&gt;MAX(RRE!$V$13:$V$23),"",INDEX(RRE!$J$13:$J$23,MATCH(ROW(I15)-ROW(I$5),RRE!$V$13:$V$23,0)))</f>
        <v/>
      </c>
      <c r="J15" s="597" t="str">
        <f ca="1">IF(I15="","",SUMIF(RRE!$J$13:$J$23,OFÍCIO!$I15,RRE!$L$13:$L$23))</f>
        <v/>
      </c>
      <c r="K15" s="597" t="str">
        <f ca="1">IF(J15="","",SUMIF(RRE!$J$13:$J$23,OFÍCIO!$I15,RRE!$N$13:$N$23))</f>
        <v/>
      </c>
      <c r="L15" s="598" t="str">
        <f ca="1">IF(K15="","",SUMIF(RRE!$J$13:$J$23,OFÍCIO!$I15,RRE!$O$13:$O$23))</f>
        <v/>
      </c>
    </row>
    <row r="16" spans="2:17" x14ac:dyDescent="0.2">
      <c r="B16" s="513"/>
      <c r="C16" s="827"/>
      <c r="D16" s="827"/>
      <c r="E16" s="827"/>
      <c r="F16" s="827"/>
      <c r="G16" s="827"/>
      <c r="I16" s="596" t="str">
        <f ca="1">IF(ROW(I16)-ROW(L$5)&gt;MAX(RRE!$V$13:$V$23),"",INDEX(RRE!$J$13:$J$23,MATCH(ROW(I16)-ROW(I$5),RRE!$V$13:$V$23,0)))</f>
        <v/>
      </c>
      <c r="J16" s="597" t="str">
        <f ca="1">IF(I16="","",SUMIF(RRE!$J$13:$J$23,OFÍCIO!$I16,RRE!$L$13:$L$23))</f>
        <v/>
      </c>
      <c r="K16" s="597" t="str">
        <f ca="1">IF(J16="","",SUMIF(RRE!$J$13:$J$23,OFÍCIO!$I16,RRE!$N$13:$N$23))</f>
        <v/>
      </c>
      <c r="L16" s="598" t="str">
        <f ca="1">IF(K16="","",SUMIF(RRE!$J$13:$J$23,OFÍCIO!$I16,RRE!$O$13:$O$23))</f>
        <v/>
      </c>
    </row>
    <row r="17" spans="2:12" x14ac:dyDescent="0.2">
      <c r="B17" s="61"/>
      <c r="C17" s="61"/>
      <c r="D17" s="61"/>
      <c r="E17" s="61"/>
      <c r="F17" s="61"/>
      <c r="G17" s="61"/>
      <c r="I17" s="596" t="str">
        <f ca="1">IF(ROW(I17)-ROW(L$5)&gt;MAX(RRE!$V$13:$V$23),"",INDEX(RRE!$J$13:$J$23,MATCH(ROW(I17)-ROW(I$5),RRE!$V$13:$V$23,0)))</f>
        <v/>
      </c>
      <c r="J17" s="597" t="str">
        <f ca="1">IF(I17="","",SUMIF(RRE!$J$13:$J$23,OFÍCIO!$I17,RRE!$L$13:$L$23))</f>
        <v/>
      </c>
      <c r="K17" s="597" t="str">
        <f ca="1">IF(J17="","",SUMIF(RRE!$J$13:$J$23,OFÍCIO!$I17,RRE!$N$13:$N$23))</f>
        <v/>
      </c>
      <c r="L17" s="598" t="str">
        <f ca="1">IF(K17="","",SUMIF(RRE!$J$13:$J$23,OFÍCIO!$I17,RRE!$O$13:$O$23))</f>
        <v/>
      </c>
    </row>
    <row r="18" spans="2:12" ht="12.75" customHeight="1" x14ac:dyDescent="0.2">
      <c r="B18" s="516" t="s">
        <v>395</v>
      </c>
      <c r="C18" s="828" t="str">
        <f>Import.DescLote</f>
        <v>Adequação de Estradas Vicinais</v>
      </c>
      <c r="D18" s="828"/>
      <c r="E18" s="828"/>
      <c r="F18" s="828"/>
      <c r="G18" s="828"/>
      <c r="I18" s="596" t="str">
        <f ca="1">IF(ROW(I18)-ROW(L$5)&gt;MAX(RRE!$V$13:$V$23),"",INDEX(RRE!$J$13:$J$23,MATCH(ROW(I18)-ROW(I$5),RRE!$V$13:$V$23,0)))</f>
        <v/>
      </c>
      <c r="J18" s="597" t="str">
        <f ca="1">IF(I18="","",SUMIF(RRE!$J$13:$J$23,OFÍCIO!$I18,RRE!$L$13:$L$23))</f>
        <v/>
      </c>
      <c r="K18" s="597" t="str">
        <f ca="1">IF(J18="","",SUMIF(RRE!$J$13:$J$23,OFÍCIO!$I18,RRE!$N$13:$N$23))</f>
        <v/>
      </c>
      <c r="L18" s="598" t="str">
        <f ca="1">IF(K18="","",SUMIF(RRE!$J$13:$J$23,OFÍCIO!$I18,RRE!$O$13:$O$23))</f>
        <v/>
      </c>
    </row>
    <row r="19" spans="2:12" ht="12.75" customHeight="1" x14ac:dyDescent="0.2">
      <c r="B19" s="823" t="s">
        <v>396</v>
      </c>
      <c r="C19" s="824" t="str">
        <f>Import.Proponente</f>
        <v>PREFEITURA MUNICIPAL DE CONCEIÇÃO DOS OUROS</v>
      </c>
      <c r="D19" s="824"/>
      <c r="E19" s="824"/>
      <c r="F19" s="824"/>
      <c r="G19" s="824"/>
      <c r="I19" s="596" t="str">
        <f ca="1">IF(ROW(I19)-ROW(L$5)&gt;MAX(RRE!$V$13:$V$23),"",INDEX(RRE!$J$13:$J$23,MATCH(ROW(I19)-ROW(I$5),RRE!$V$13:$V$23,0)))</f>
        <v/>
      </c>
      <c r="J19" s="597" t="str">
        <f ca="1">IF(I19="","",SUMIF(RRE!$J$13:$J$23,OFÍCIO!$I19,RRE!$L$13:$L$23))</f>
        <v/>
      </c>
      <c r="K19" s="597" t="str">
        <f ca="1">IF(J19="","",SUMIF(RRE!$J$13:$J$23,OFÍCIO!$I19,RRE!$N$13:$N$23))</f>
        <v/>
      </c>
      <c r="L19" s="598" t="str">
        <f ca="1">IF(K19="","",SUMIF(RRE!$J$13:$J$23,OFÍCIO!$I19,RRE!$O$13:$O$23))</f>
        <v/>
      </c>
    </row>
    <row r="20" spans="2:12" x14ac:dyDescent="0.2">
      <c r="B20" s="823"/>
      <c r="C20" s="824"/>
      <c r="D20" s="824"/>
      <c r="E20" s="824"/>
      <c r="F20" s="824"/>
      <c r="G20" s="824"/>
      <c r="I20" s="596" t="str">
        <f ca="1">IF(ROW(I20)-ROW(L$5)&gt;MAX(RRE!$V$13:$V$23),"",INDEX(RRE!$J$13:$J$23,MATCH(ROW(I20)-ROW(I$5),RRE!$V$13:$V$23,0)))</f>
        <v/>
      </c>
      <c r="J20" s="597" t="str">
        <f ca="1">IF(I20="","",SUMIF(RRE!$J$13:$J$23,OFÍCIO!$I20,RRE!$L$13:$L$23))</f>
        <v/>
      </c>
      <c r="K20" s="597" t="str">
        <f ca="1">IF(J20="","",SUMIF(RRE!$J$13:$J$23,OFÍCIO!$I20,RRE!$N$13:$N$23))</f>
        <v/>
      </c>
      <c r="L20" s="598" t="str">
        <f ca="1">IF(K20="","",SUMIF(RRE!$J$13:$J$23,OFÍCIO!$I20,RRE!$O$13:$O$23))</f>
        <v/>
      </c>
    </row>
    <row r="21" spans="2:12" x14ac:dyDescent="0.2">
      <c r="B21" s="61"/>
      <c r="C21" s="61"/>
      <c r="D21" s="61"/>
      <c r="E21" s="61"/>
      <c r="F21" s="61"/>
      <c r="G21" s="61"/>
      <c r="I21" s="596" t="str">
        <f ca="1">IF(ROW(I21)-ROW(L$5)&gt;MAX(RRE!$V$13:$V$23),"",INDEX(RRE!$J$13:$J$23,MATCH(ROW(I21)-ROW(I$5),RRE!$V$13:$V$23,0)))</f>
        <v/>
      </c>
      <c r="J21" s="597" t="str">
        <f ca="1">IF(I21="","",SUMIF(RRE!$J$13:$J$23,OFÍCIO!$I21,RRE!$L$13:$L$23))</f>
        <v/>
      </c>
      <c r="K21" s="597" t="str">
        <f ca="1">IF(J21="","",SUMIF(RRE!$J$13:$J$23,OFÍCIO!$I21,RRE!$N$13:$N$23))</f>
        <v/>
      </c>
      <c r="L21" s="598" t="str">
        <f ca="1">IF(K21="","",SUMIF(RRE!$J$13:$J$23,OFÍCIO!$I21,RRE!$O$13:$O$23))</f>
        <v/>
      </c>
    </row>
    <row r="22" spans="2:12" x14ac:dyDescent="0.2">
      <c r="B22" s="100" t="str">
        <f>IF(B11="GIGOV","Senhor Gerente","Senhor Superintendente")</f>
        <v>Senhor Gerente</v>
      </c>
      <c r="D22" s="61"/>
      <c r="E22" s="61"/>
      <c r="F22" s="61"/>
      <c r="G22" s="61"/>
      <c r="I22" s="596" t="str">
        <f ca="1">IF(ROW(I22)-ROW(L$5)&gt;MAX(RRE!$V$13:$V$23),"",INDEX(RRE!$J$13:$J$23,MATCH(ROW(I22)-ROW(I$5),RRE!$V$13:$V$23,0)))</f>
        <v/>
      </c>
      <c r="J22" s="597" t="str">
        <f ca="1">IF(I22="","",SUMIF(RRE!$J$13:$J$23,OFÍCIO!$I22,RRE!$L$13:$L$23))</f>
        <v/>
      </c>
      <c r="K22" s="597" t="str">
        <f ca="1">IF(J22="","",SUMIF(RRE!$J$13:$J$23,OFÍCIO!$I22,RRE!$N$13:$N$23))</f>
        <v/>
      </c>
      <c r="L22" s="598" t="str">
        <f ca="1">IF(K22="","",SUMIF(RRE!$J$13:$J$23,OFÍCIO!$I22,RRE!$O$13:$O$23))</f>
        <v/>
      </c>
    </row>
    <row r="23" spans="2:12" x14ac:dyDescent="0.2">
      <c r="B23" s="61"/>
      <c r="C23" s="61"/>
      <c r="D23" s="61"/>
      <c r="E23" s="61"/>
      <c r="F23" s="61"/>
      <c r="G23" s="61"/>
      <c r="I23" s="596" t="str">
        <f ca="1">IF(ROW(I23)-ROW(L$5)&gt;MAX(RRE!$V$13:$V$23),"",INDEX(RRE!$J$13:$J$23,MATCH(ROW(I23)-ROW(I$5),RRE!$V$13:$V$23,0)))</f>
        <v/>
      </c>
      <c r="J23" s="597" t="str">
        <f ca="1">IF(I23="","",SUMIF(RRE!$J$13:$J$23,OFÍCIO!$I23,RRE!$L$13:$L$23))</f>
        <v/>
      </c>
      <c r="K23" s="597" t="str">
        <f ca="1">IF(J23="","",SUMIF(RRE!$J$13:$J$23,OFÍCIO!$I23,RRE!$N$13:$N$23))</f>
        <v/>
      </c>
      <c r="L23" s="598" t="str">
        <f ca="1">IF(K23="","",SUMIF(RRE!$J$13:$J$23,OFÍCIO!$I23,RRE!$O$13:$O$23))</f>
        <v/>
      </c>
    </row>
    <row r="24" spans="2:12" ht="12.75" customHeight="1" x14ac:dyDescent="0.2">
      <c r="B24" s="821" t="str">
        <f>CONCATENATE("1. Vimos pelo presente, solicitar à Caixa Econômica Federal autorização para ",IF(import.recurso="OGU","desbloqueio","desembolso")," da parcela de recursos relativa ao Contrato de ",IF(import.recurso="OGU","Repasse","Financiamento")," em referência, conforme valores abaixo discriminados e, para tanto, anexamos a documentação necessária ao pleito.")</f>
        <v>1. Vimos pelo presente, solicitar à Caixa Econômica Federal autorização para desbloqueio da parcela de recursos relativa ao Contrato de Repasse em referência, conforme valores abaixo discriminados e, para tanto, anexamos a documentação necessária ao pleito.</v>
      </c>
      <c r="C24" s="821"/>
      <c r="D24" s="821"/>
      <c r="E24" s="821"/>
      <c r="F24" s="821"/>
      <c r="G24" s="821"/>
      <c r="I24" s="596" t="str">
        <f ca="1">IF(ROW(I24)-ROW(L$5)&gt;MAX(RRE!$V$13:$V$23),"",INDEX(RRE!$J$13:$J$23,MATCH(ROW(I24)-ROW(I$5),RRE!$V$13:$V$23,0)))</f>
        <v/>
      </c>
      <c r="J24" s="597" t="str">
        <f ca="1">IF(I24="","",SUMIF(RRE!$J$13:$J$23,OFÍCIO!$I24,RRE!$L$13:$L$23))</f>
        <v/>
      </c>
      <c r="K24" s="597" t="str">
        <f ca="1">IF(J24="","",SUMIF(RRE!$J$13:$J$23,OFÍCIO!$I24,RRE!$N$13:$N$23))</f>
        <v/>
      </c>
      <c r="L24" s="598" t="str">
        <f ca="1">IF(K24="","",SUMIF(RRE!$J$13:$J$23,OFÍCIO!$I24,RRE!$O$13:$O$23))</f>
        <v/>
      </c>
    </row>
    <row r="25" spans="2:12" x14ac:dyDescent="0.2">
      <c r="B25" s="821"/>
      <c r="C25" s="821"/>
      <c r="D25" s="821"/>
      <c r="E25" s="821"/>
      <c r="F25" s="821"/>
      <c r="G25" s="821"/>
      <c r="I25" s="596" t="str">
        <f ca="1">IF(ROW(I25)-ROW(L$5)&gt;MAX(RRE!$V$13:$V$23),"",INDEX(RRE!$J$13:$J$23,MATCH(ROW(I25)-ROW(I$5),RRE!$V$13:$V$23,0)))</f>
        <v/>
      </c>
      <c r="J25" s="597" t="str">
        <f ca="1">IF(I25="","",SUMIF(RRE!$J$13:$J$23,OFÍCIO!$I25,RRE!$L$13:$L$23))</f>
        <v/>
      </c>
      <c r="K25" s="597" t="str">
        <f ca="1">IF(J25="","",SUMIF(RRE!$J$13:$J$23,OFÍCIO!$I25,RRE!$N$13:$N$23))</f>
        <v/>
      </c>
      <c r="L25" s="598" t="str">
        <f ca="1">IF(K25="","",SUMIF(RRE!$J$13:$J$23,OFÍCIO!$I25,RRE!$O$13:$O$23))</f>
        <v/>
      </c>
    </row>
    <row r="26" spans="2:12" x14ac:dyDescent="0.2">
      <c r="B26" s="821"/>
      <c r="C26" s="821"/>
      <c r="D26" s="821"/>
      <c r="E26" s="821"/>
      <c r="F26" s="821"/>
      <c r="G26" s="821"/>
      <c r="I26" s="596" t="str">
        <f ca="1">IF(ROW(I26)-ROW(L$5)&gt;MAX(RRE!$V$13:$V$23),"",INDEX(RRE!$J$13:$J$23,MATCH(ROW(I26)-ROW(I$5),RRE!$V$13:$V$23,0)))</f>
        <v/>
      </c>
      <c r="J26" s="597" t="str">
        <f ca="1">IF(I26="","",SUMIF(RRE!$J$13:$J$23,OFÍCIO!$I26,RRE!$L$13:$L$23))</f>
        <v/>
      </c>
      <c r="K26" s="597" t="str">
        <f ca="1">IF(J26="","",SUMIF(RRE!$J$13:$J$23,OFÍCIO!$I26,RRE!$N$13:$N$23))</f>
        <v/>
      </c>
      <c r="L26" s="598" t="str">
        <f ca="1">IF(K26="","",SUMIF(RRE!$J$13:$J$23,OFÍCIO!$I26,RRE!$O$13:$O$23))</f>
        <v/>
      </c>
    </row>
    <row r="27" spans="2:12" x14ac:dyDescent="0.2">
      <c r="B27" s="61"/>
      <c r="C27" s="61"/>
      <c r="D27" s="61"/>
      <c r="E27" s="61"/>
      <c r="F27" s="61"/>
      <c r="G27" s="61"/>
      <c r="I27" s="596" t="str">
        <f ca="1">IF(ROW(I27)-ROW(L$5)&gt;MAX(RRE!$V$13:$V$23),"",INDEX(RRE!$J$13:$J$23,MATCH(ROW(I27)-ROW(I$5),RRE!$V$13:$V$23,0)))</f>
        <v/>
      </c>
      <c r="J27" s="597" t="str">
        <f ca="1">IF(I27="","",SUMIF(RRE!$J$13:$J$23,OFÍCIO!$I27,RRE!$L$13:$L$23))</f>
        <v/>
      </c>
      <c r="K27" s="597" t="str">
        <f ca="1">IF(J27="","",SUMIF(RRE!$J$13:$J$23,OFÍCIO!$I27,RRE!$N$13:$N$23))</f>
        <v/>
      </c>
      <c r="L27" s="598" t="str">
        <f ca="1">IF(K27="","",SUMIF(RRE!$J$13:$J$23,OFÍCIO!$I27,RRE!$O$13:$O$23))</f>
        <v/>
      </c>
    </row>
    <row r="28" spans="2:12" ht="12.75" customHeight="1" x14ac:dyDescent="0.2">
      <c r="B28" s="822"/>
      <c r="C28" s="822"/>
      <c r="D28" s="819" t="s">
        <v>397</v>
      </c>
      <c r="E28" s="819" t="str">
        <f ca="1">"Evolução da "&amp;RRE.Numero&amp;"ª Medição"</f>
        <v>Evolução da 1ª Medição</v>
      </c>
      <c r="F28" s="820" t="s">
        <v>398</v>
      </c>
      <c r="G28" s="820"/>
      <c r="I28" s="596" t="str">
        <f ca="1">IF(ROW(I28)-ROW(L$5)&gt;MAX(RRE!$V$13:$V$23),"",INDEX(RRE!$J$13:$J$23,MATCH(ROW(I28)-ROW(I$5),RRE!$V$13:$V$23,0)))</f>
        <v/>
      </c>
      <c r="J28" s="597" t="str">
        <f ca="1">IF(I28="","",SUMIF(RRE!$J$13:$J$23,OFÍCIO!$I28,RRE!$L$13:$L$23))</f>
        <v/>
      </c>
      <c r="K28" s="597" t="str">
        <f ca="1">IF(J28="","",SUMIF(RRE!$J$13:$J$23,OFÍCIO!$I28,RRE!$N$13:$N$23))</f>
        <v/>
      </c>
      <c r="L28" s="598" t="str">
        <f ca="1">IF(K28="","",SUMIF(RRE!$J$13:$J$23,OFÍCIO!$I28,RRE!$O$13:$O$23))</f>
        <v/>
      </c>
    </row>
    <row r="29" spans="2:12" x14ac:dyDescent="0.2">
      <c r="B29" s="822"/>
      <c r="C29" s="822"/>
      <c r="D29" s="819"/>
      <c r="E29" s="819"/>
      <c r="F29" s="820"/>
      <c r="G29" s="820"/>
      <c r="I29" s="596" t="str">
        <f ca="1">IF(ROW(I29)-ROW(L$5)&gt;MAX(RRE!$V$13:$V$23),"",INDEX(RRE!$J$13:$J$23,MATCH(ROW(I29)-ROW(I$5),RRE!$V$13:$V$23,0)))</f>
        <v/>
      </c>
      <c r="J29" s="597" t="str">
        <f ca="1">IF(I29="","",SUMIF(RRE!$J$13:$J$23,OFÍCIO!$I29,RRE!$L$13:$L$23))</f>
        <v/>
      </c>
      <c r="K29" s="597" t="str">
        <f ca="1">IF(J29="","",SUMIF(RRE!$J$13:$J$23,OFÍCIO!$I29,RRE!$N$13:$N$23))</f>
        <v/>
      </c>
      <c r="L29" s="598" t="str">
        <f ca="1">IF(K29="","",SUMIF(RRE!$J$13:$J$23,OFÍCIO!$I29,RRE!$O$13:$O$23))</f>
        <v/>
      </c>
    </row>
    <row r="30" spans="2:12" x14ac:dyDescent="0.2">
      <c r="B30" s="813" t="str">
        <f>IF(import.recurso="FGTS","Financiamento:","Repasse:")</f>
        <v>Repasse:</v>
      </c>
      <c r="C30" s="813"/>
      <c r="D30" s="517">
        <f ca="1">RRE!L24</f>
        <v>481104</v>
      </c>
      <c r="E30" s="517">
        <f ca="1">RRE!N24</f>
        <v>0</v>
      </c>
      <c r="F30" s="814">
        <f ca="1">RRE!O24</f>
        <v>0</v>
      </c>
      <c r="G30" s="814"/>
      <c r="I30" s="596" t="str">
        <f ca="1">IF(ROW(I30)-ROW(L$5)&gt;MAX(RRE!$V$13:$V$23),"",INDEX(RRE!$J$13:$J$23,MATCH(ROW(I30)-ROW(I$5),RRE!$V$13:$V$23,0)))</f>
        <v/>
      </c>
      <c r="J30" s="597" t="str">
        <f ca="1">IF(I30="","",SUMIF(RRE!$J$13:$J$23,OFÍCIO!$I30,RRE!$L$13:$L$23))</f>
        <v/>
      </c>
      <c r="K30" s="597" t="str">
        <f ca="1">IF(J30="","",SUMIF(RRE!$J$13:$J$23,OFÍCIO!$I30,RRE!$N$13:$N$23))</f>
        <v/>
      </c>
      <c r="L30" s="598" t="str">
        <f ca="1">IF(K30="","",SUMIF(RRE!$J$13:$J$23,OFÍCIO!$I30,RRE!$O$13:$O$23))</f>
        <v/>
      </c>
    </row>
    <row r="31" spans="2:12" x14ac:dyDescent="0.2">
      <c r="B31" s="813" t="s">
        <v>399</v>
      </c>
      <c r="C31" s="813"/>
      <c r="D31" s="517">
        <f ca="1">RRE!L25</f>
        <v>20044.52</v>
      </c>
      <c r="E31" s="517">
        <f ca="1">RRE!N25</f>
        <v>0</v>
      </c>
      <c r="F31" s="814">
        <f ca="1">RRE!O25</f>
        <v>0</v>
      </c>
      <c r="G31" s="814"/>
      <c r="I31" s="596" t="str">
        <f ca="1">IF(ROW(I31)-ROW(L$5)&gt;MAX(RRE!$V$13:$V$23),"",INDEX(RRE!$J$13:$J$23,MATCH(ROW(I31)-ROW(I$5),RRE!$V$13:$V$23,0)))</f>
        <v/>
      </c>
      <c r="J31" s="597" t="str">
        <f ca="1">IF(I31="","",SUMIF(RRE!$J$13:$J$23,OFÍCIO!$I31,RRE!$L$13:$L$23))</f>
        <v/>
      </c>
      <c r="K31" s="597" t="str">
        <f ca="1">IF(J31="","",SUMIF(RRE!$J$13:$J$23,OFÍCIO!$I31,RRE!$N$13:$N$23))</f>
        <v/>
      </c>
      <c r="L31" s="598" t="str">
        <f ca="1">IF(K31="","",SUMIF(RRE!$J$13:$J$23,OFÍCIO!$I31,RRE!$O$13:$O$23))</f>
        <v/>
      </c>
    </row>
    <row r="32" spans="2:12" x14ac:dyDescent="0.2">
      <c r="B32" s="813" t="s">
        <v>287</v>
      </c>
      <c r="C32" s="813"/>
      <c r="D32" s="517">
        <f ca="1">RRE!L26</f>
        <v>0</v>
      </c>
      <c r="E32" s="517">
        <f ca="1">RRE!N26</f>
        <v>0</v>
      </c>
      <c r="F32" s="814">
        <f ca="1">RRE!O26</f>
        <v>0</v>
      </c>
      <c r="G32" s="814"/>
      <c r="I32" s="596" t="str">
        <f ca="1">IF(ROW(I32)-ROW(L$5)&gt;MAX(RRE!$V$13:$V$23),"",INDEX(RRE!$J$13:$J$23,MATCH(ROW(I32)-ROW(I$5),RRE!$V$13:$V$23,0)))</f>
        <v/>
      </c>
      <c r="J32" s="597" t="str">
        <f ca="1">IF(I32="","",SUMIF(RRE!$J$13:$J$23,OFÍCIO!$I32,RRE!$L$13:$L$23))</f>
        <v/>
      </c>
      <c r="K32" s="597" t="str">
        <f ca="1">IF(J32="","",SUMIF(RRE!$J$13:$J$23,OFÍCIO!$I32,RRE!$N$13:$N$23))</f>
        <v/>
      </c>
      <c r="L32" s="598" t="str">
        <f ca="1">IF(K32="","",SUMIF(RRE!$J$13:$J$23,OFÍCIO!$I32,RRE!$O$13:$O$23))</f>
        <v/>
      </c>
    </row>
    <row r="33" spans="2:12" x14ac:dyDescent="0.2">
      <c r="B33" s="813" t="s">
        <v>288</v>
      </c>
      <c r="C33" s="813"/>
      <c r="D33" s="517">
        <f ca="1">RRE!L27</f>
        <v>501148.51558840001</v>
      </c>
      <c r="E33" s="517">
        <f ca="1">RRE!N27</f>
        <v>0</v>
      </c>
      <c r="F33" s="814">
        <f ca="1">RRE!O27</f>
        <v>0</v>
      </c>
      <c r="G33" s="814"/>
      <c r="I33" s="596" t="str">
        <f ca="1">IF(ROW(I33)-ROW(L$5)&gt;MAX(RRE!$V$13:$V$23),"",INDEX(RRE!$J$13:$J$23,MATCH(ROW(I33)-ROW(I$5),RRE!$V$13:$V$23,0)))</f>
        <v/>
      </c>
      <c r="J33" s="597" t="str">
        <f ca="1">IF(I33="","",SUMIF(RRE!$J$13:$J$23,OFÍCIO!$I33,RRE!$L$13:$L$23))</f>
        <v/>
      </c>
      <c r="K33" s="597" t="str">
        <f ca="1">IF(J33="","",SUMIF(RRE!$J$13:$J$23,OFÍCIO!$I33,RRE!$N$13:$N$23))</f>
        <v/>
      </c>
      <c r="L33" s="598" t="str">
        <f ca="1">IF(K33="","",SUMIF(RRE!$J$13:$J$23,OFÍCIO!$I33,RRE!$O$13:$O$23))</f>
        <v/>
      </c>
    </row>
    <row r="34" spans="2:12" x14ac:dyDescent="0.2">
      <c r="B34" s="816" t="s">
        <v>400</v>
      </c>
      <c r="C34" s="816"/>
      <c r="D34" s="518" t="s">
        <v>168</v>
      </c>
      <c r="E34" s="519">
        <f ca="1">RRE!$N$27/(RRE!$L$27+10^-12)</f>
        <v>0</v>
      </c>
      <c r="F34" s="817">
        <f ca="1">RRE!P23</f>
        <v>0</v>
      </c>
      <c r="G34" s="817"/>
      <c r="I34" s="596" t="str">
        <f ca="1">IF(ROW(I34)-ROW(L$5)&gt;MAX(RRE!$V$13:$V$23),"",INDEX(RRE!$J$13:$J$23,MATCH(ROW(I34)-ROW(I$5),RRE!$V$13:$V$23,0)))</f>
        <v/>
      </c>
      <c r="J34" s="597" t="str">
        <f ca="1">IF(I34="","",SUMIF(RRE!$J$13:$J$23,OFÍCIO!$I34,RRE!$L$13:$L$23))</f>
        <v/>
      </c>
      <c r="K34" s="597" t="str">
        <f ca="1">IF(J34="","",SUMIF(RRE!$J$13:$J$23,OFÍCIO!$I34,RRE!$N$13:$N$23))</f>
        <v/>
      </c>
      <c r="L34" s="598" t="str">
        <f ca="1">IF(K34="","",SUMIF(RRE!$J$13:$J$23,OFÍCIO!$I34,RRE!$O$13:$O$23))</f>
        <v/>
      </c>
    </row>
    <row r="35" spans="2:12" x14ac:dyDescent="0.2">
      <c r="B35" s="225"/>
      <c r="C35" s="61"/>
      <c r="D35" s="61"/>
      <c r="E35" s="61"/>
      <c r="F35" s="61"/>
      <c r="G35" s="61"/>
      <c r="I35" s="596" t="str">
        <f ca="1">IF(ROW(I35)-ROW(L$5)&gt;MAX(RRE!$V$13:$V$23),"",INDEX(RRE!$J$13:$J$23,MATCH(ROW(I35)-ROW(I$5),RRE!$V$13:$V$23,0)))</f>
        <v/>
      </c>
      <c r="J35" s="597" t="str">
        <f ca="1">IF(I35="","",SUMIF(RRE!$J$13:$J$23,OFÍCIO!$I35,RRE!$L$13:$L$23))</f>
        <v/>
      </c>
      <c r="K35" s="597" t="str">
        <f ca="1">IF(J35="","",SUMIF(RRE!$J$13:$J$23,OFÍCIO!$I35,RRE!$N$13:$N$23))</f>
        <v/>
      </c>
      <c r="L35" s="598" t="str">
        <f ca="1">IF(K35="","",SUMIF(RRE!$J$13:$J$23,OFÍCIO!$I35,RRE!$O$13:$O$23))</f>
        <v/>
      </c>
    </row>
    <row r="36" spans="2:12" x14ac:dyDescent="0.2">
      <c r="B36" s="225"/>
      <c r="C36" s="225"/>
      <c r="D36" s="225"/>
      <c r="E36" s="225"/>
      <c r="F36" s="225"/>
      <c r="G36" s="61"/>
      <c r="I36" s="596" t="str">
        <f ca="1">IF(ROW(I36)-ROW(L$5)&gt;MAX(RRE!$V$13:$V$23),"",INDEX(RRE!$J$13:$J$23,MATCH(ROW(I36)-ROW(I$5),RRE!$V$13:$V$23,0)))</f>
        <v/>
      </c>
      <c r="J36" s="597" t="str">
        <f ca="1">IF(I36="","",SUMIF(RRE!$J$13:$J$23,OFÍCIO!$I36,RRE!$L$13:$L$23))</f>
        <v/>
      </c>
      <c r="K36" s="597" t="str">
        <f ca="1">IF(J36="","",SUMIF(RRE!$J$13:$J$23,OFÍCIO!$I36,RRE!$N$13:$N$23))</f>
        <v/>
      </c>
      <c r="L36" s="598" t="str">
        <f ca="1">IF(K36="","",SUMIF(RRE!$J$13:$J$23,OFÍCIO!$I36,RRE!$O$13:$O$23))</f>
        <v/>
      </c>
    </row>
    <row r="37" spans="2:12" x14ac:dyDescent="0.2">
      <c r="B37" s="818" t="str">
        <f ca="1">IF(RRE.Numero&gt;1,"2. Encaminhamos ainda a documentação relativa à prestação de contas da etapa físico-financeira anterior.","")</f>
        <v/>
      </c>
      <c r="C37" s="818"/>
      <c r="D37" s="818"/>
      <c r="E37" s="818"/>
      <c r="F37" s="818"/>
      <c r="G37" s="818"/>
      <c r="I37" s="596" t="str">
        <f ca="1">IF(ROW(I37)-ROW(L$5)&gt;MAX(RRE!$V$13:$V$23),"",INDEX(RRE!$J$13:$J$23,MATCH(ROW(I37)-ROW(I$5),RRE!$V$13:$V$23,0)))</f>
        <v/>
      </c>
      <c r="J37" s="597" t="str">
        <f ca="1">IF(I37="","",SUMIF(RRE!$J$13:$J$23,OFÍCIO!$I37,RRE!$L$13:$L$23))</f>
        <v/>
      </c>
      <c r="K37" s="597" t="str">
        <f ca="1">IF(J37="","",SUMIF(RRE!$J$13:$J$23,OFÍCIO!$I37,RRE!$N$13:$N$23))</f>
        <v/>
      </c>
      <c r="L37" s="598" t="str">
        <f ca="1">IF(K37="","",SUMIF(RRE!$J$13:$J$23,OFÍCIO!$I37,RRE!$O$13:$O$23))</f>
        <v/>
      </c>
    </row>
    <row r="38" spans="2:12" x14ac:dyDescent="0.2">
      <c r="B38" s="818"/>
      <c r="C38" s="818"/>
      <c r="D38" s="818"/>
      <c r="E38" s="818"/>
      <c r="F38" s="818"/>
      <c r="G38" s="818"/>
      <c r="I38" s="596" t="str">
        <f ca="1">IF(ROW(I38)-ROW(L$5)&gt;MAX(RRE!$V$13:$V$23),"",INDEX(RRE!$J$13:$J$23,MATCH(ROW(I38)-ROW(I$5),RRE!$V$13:$V$23,0)))</f>
        <v/>
      </c>
      <c r="J38" s="597" t="str">
        <f ca="1">IF(I38="","",SUMIF(RRE!$J$13:$J$23,OFÍCIO!$I38,RRE!$L$13:$L$23))</f>
        <v/>
      </c>
      <c r="K38" s="597" t="str">
        <f ca="1">IF(J38="","",SUMIF(RRE!$J$13:$J$23,OFÍCIO!$I38,RRE!$N$13:$N$23))</f>
        <v/>
      </c>
      <c r="L38" s="598" t="str">
        <f ca="1">IF(K38="","",SUMIF(RRE!$J$13:$J$23,OFÍCIO!$I38,RRE!$O$13:$O$23))</f>
        <v/>
      </c>
    </row>
    <row r="39" spans="2:12" ht="12.75" customHeight="1" x14ac:dyDescent="0.2">
      <c r="B39" s="818" t="str">
        <f ca="1">IF(AND(RRE.Numero&gt;1,NOT(ISBLANK(Import.SICONV))),"3. Na oportunidade, informamos que a execução financeira da parcela anterior está devidamente comprovada no SICONV.","")</f>
        <v/>
      </c>
      <c r="C39" s="818"/>
      <c r="D39" s="818"/>
      <c r="E39" s="818"/>
      <c r="F39" s="818"/>
      <c r="G39" s="818"/>
      <c r="I39" s="596" t="str">
        <f ca="1">IF(ROW(I39)-ROW(L$5)&gt;MAX(RRE!$V$13:$V$23),"",INDEX(RRE!$J$13:$J$23,MATCH(ROW(I39)-ROW(I$5),RRE!$V$13:$V$23,0)))</f>
        <v/>
      </c>
      <c r="J39" s="597" t="str">
        <f ca="1">IF(I39="","",SUMIF(RRE!$J$13:$J$23,OFÍCIO!$I39,RRE!$L$13:$L$23))</f>
        <v/>
      </c>
      <c r="K39" s="597" t="str">
        <f ca="1">IF(J39="","",SUMIF(RRE!$J$13:$J$23,OFÍCIO!$I39,RRE!$N$13:$N$23))</f>
        <v/>
      </c>
      <c r="L39" s="598" t="str">
        <f ca="1">IF(K39="","",SUMIF(RRE!$J$13:$J$23,OFÍCIO!$I39,RRE!$O$13:$O$23))</f>
        <v/>
      </c>
    </row>
    <row r="40" spans="2:12" x14ac:dyDescent="0.2">
      <c r="B40" s="818"/>
      <c r="C40" s="818"/>
      <c r="D40" s="818"/>
      <c r="E40" s="818"/>
      <c r="F40" s="818"/>
      <c r="G40" s="818"/>
      <c r="I40" s="596" t="str">
        <f ca="1">IF(ROW(I40)-ROW(L$5)&gt;MAX(RRE!$V$13:$V$23),"",INDEX(RRE!$J$13:$J$23,MATCH(ROW(I40)-ROW(I$5),RRE!$V$13:$V$23,0)))</f>
        <v/>
      </c>
      <c r="J40" s="597" t="str">
        <f ca="1">IF(I40="","",SUMIF(RRE!$J$13:$J$23,OFÍCIO!$I40,RRE!$L$13:$L$23))</f>
        <v/>
      </c>
      <c r="K40" s="597" t="str">
        <f ca="1">IF(J40="","",SUMIF(RRE!$J$13:$J$23,OFÍCIO!$I40,RRE!$N$13:$N$23))</f>
        <v/>
      </c>
      <c r="L40" s="598" t="str">
        <f ca="1">IF(K40="","",SUMIF(RRE!$J$13:$J$23,OFÍCIO!$I40,RRE!$O$13:$O$23))</f>
        <v/>
      </c>
    </row>
    <row r="41" spans="2:12" x14ac:dyDescent="0.2">
      <c r="B41" s="520"/>
      <c r="C41" s="514"/>
      <c r="D41" s="514"/>
      <c r="E41" s="514"/>
      <c r="F41" s="514"/>
      <c r="G41" s="514"/>
      <c r="I41" s="596" t="str">
        <f ca="1">IF(ROW(I41)-ROW(L$5)&gt;MAX(RRE!$V$13:$V$23),"",INDEX(RRE!$J$13:$J$23,MATCH(ROW(I41)-ROW(I$5),RRE!$V$13:$V$23,0)))</f>
        <v/>
      </c>
      <c r="J41" s="597" t="str">
        <f ca="1">IF(I41="","",SUMIF(RRE!$J$13:$J$23,OFÍCIO!$I41,RRE!$L$13:$L$23))</f>
        <v/>
      </c>
      <c r="K41" s="597" t="str">
        <f ca="1">IF(J41="","",SUMIF(RRE!$J$13:$J$23,OFÍCIO!$I41,RRE!$N$13:$N$23))</f>
        <v/>
      </c>
      <c r="L41" s="598" t="str">
        <f ca="1">IF(K41="","",SUMIF(RRE!$J$13:$J$23,OFÍCIO!$I41,RRE!$O$13:$O$23))</f>
        <v/>
      </c>
    </row>
    <row r="42" spans="2:12" ht="12.75" customHeight="1" x14ac:dyDescent="0.2">
      <c r="B42" s="818" t="str">
        <f ca="1">IF($B$37="",0,1)+IF($B$39="",0,1)+2&amp;". Informamos também a manutenção da Placa de Obra em local visível e de acordo com padrão estabelecido pela Presidência da República, constante do Manual Visual de Placas e Adesivos de Obra."</f>
        <v>2. Informamos também a manutenção da Placa de Obra em local visível e de acordo com padrão estabelecido pela Presidência da República, constante do Manual Visual de Placas e Adesivos de Obra.</v>
      </c>
      <c r="C42" s="818"/>
      <c r="D42" s="818"/>
      <c r="E42" s="818"/>
      <c r="F42" s="818"/>
      <c r="G42" s="818"/>
      <c r="I42" s="596" t="str">
        <f ca="1">IF(ROW(I42)-ROW(L$5)&gt;MAX(RRE!$V$13:$V$23),"",INDEX(RRE!$J$13:$J$23,MATCH(ROW(I42)-ROW(I$5),RRE!$V$13:$V$23,0)))</f>
        <v/>
      </c>
      <c r="J42" s="597" t="str">
        <f ca="1">IF(I42="","",SUMIF(RRE!$J$13:$J$23,OFÍCIO!$I42,RRE!$L$13:$L$23))</f>
        <v/>
      </c>
      <c r="K42" s="597" t="str">
        <f ca="1">IF(J42="","",SUMIF(RRE!$J$13:$J$23,OFÍCIO!$I42,RRE!$N$13:$N$23))</f>
        <v/>
      </c>
      <c r="L42" s="598" t="str">
        <f ca="1">IF(K42="","",SUMIF(RRE!$J$13:$J$23,OFÍCIO!$I42,RRE!$O$13:$O$23))</f>
        <v/>
      </c>
    </row>
    <row r="43" spans="2:12" x14ac:dyDescent="0.2">
      <c r="B43" s="818"/>
      <c r="C43" s="818"/>
      <c r="D43" s="818"/>
      <c r="E43" s="818"/>
      <c r="F43" s="818"/>
      <c r="G43" s="818"/>
      <c r="I43" s="596" t="str">
        <f ca="1">IF(ROW(I43)-ROW(L$5)&gt;MAX(RRE!$V$13:$V$23),"",INDEX(RRE!$J$13:$J$23,MATCH(ROW(I43)-ROW(I$5),RRE!$V$13:$V$23,0)))</f>
        <v/>
      </c>
      <c r="J43" s="597" t="str">
        <f ca="1">IF(I43="","",SUMIF(RRE!$J$13:$J$23,OFÍCIO!$I43,RRE!$L$13:$L$23))</f>
        <v/>
      </c>
      <c r="K43" s="597" t="str">
        <f ca="1">IF(J43="","",SUMIF(RRE!$J$13:$J$23,OFÍCIO!$I43,RRE!$N$13:$N$23))</f>
        <v/>
      </c>
      <c r="L43" s="598" t="str">
        <f ca="1">IF(K43="","",SUMIF(RRE!$J$13:$J$23,OFÍCIO!$I43,RRE!$O$13:$O$23))</f>
        <v/>
      </c>
    </row>
    <row r="44" spans="2:12" x14ac:dyDescent="0.2">
      <c r="B44" s="818"/>
      <c r="C44" s="818"/>
      <c r="D44" s="818"/>
      <c r="E44" s="818"/>
      <c r="F44" s="818"/>
      <c r="G44" s="818"/>
      <c r="I44" s="596" t="str">
        <f ca="1">IF(ROW(I44)-ROW(L$5)&gt;MAX(RRE!$V$13:$V$23),"",INDEX(RRE!$J$13:$J$23,MATCH(ROW(I44)-ROW(I$5),RRE!$V$13:$V$23,0)))</f>
        <v/>
      </c>
      <c r="J44" s="597" t="str">
        <f ca="1">IF(I44="","",SUMIF(RRE!$J$13:$J$23,OFÍCIO!$I44,RRE!$L$13:$L$23))</f>
        <v/>
      </c>
      <c r="K44" s="597" t="str">
        <f ca="1">IF(J44="","",SUMIF(RRE!$J$13:$J$23,OFÍCIO!$I44,RRE!$N$13:$N$23))</f>
        <v/>
      </c>
      <c r="L44" s="598" t="str">
        <f ca="1">IF(K44="","",SUMIF(RRE!$J$13:$J$23,OFÍCIO!$I44,RRE!$O$13:$O$23))</f>
        <v/>
      </c>
    </row>
    <row r="45" spans="2:12" x14ac:dyDescent="0.2">
      <c r="B45" s="818"/>
      <c r="C45" s="818"/>
      <c r="D45" s="818"/>
      <c r="E45" s="818"/>
      <c r="F45" s="818"/>
      <c r="G45" s="818"/>
      <c r="I45" s="596" t="str">
        <f ca="1">IF(ROW(I45)-ROW(L$5)&gt;MAX(RRE!$V$13:$V$23),"",INDEX(RRE!$J$13:$J$23,MATCH(ROW(I45)-ROW(I$5),RRE!$V$13:$V$23,0)))</f>
        <v/>
      </c>
      <c r="J45" s="597" t="str">
        <f ca="1">IF(I45="","",SUMIF(RRE!$J$13:$J$23,OFÍCIO!$I45,RRE!$L$13:$L$23))</f>
        <v/>
      </c>
      <c r="K45" s="597" t="str">
        <f ca="1">IF(J45="","",SUMIF(RRE!$J$13:$J$23,OFÍCIO!$I45,RRE!$N$13:$N$23))</f>
        <v/>
      </c>
      <c r="L45" s="598" t="str">
        <f ca="1">IF(K45="","",SUMIF(RRE!$J$13:$J$23,OFÍCIO!$I45,RRE!$O$13:$O$23))</f>
        <v/>
      </c>
    </row>
    <row r="46" spans="2:12" ht="13.5" thickBot="1" x14ac:dyDescent="0.25">
      <c r="B46" s="818"/>
      <c r="C46" s="818"/>
      <c r="D46" s="818"/>
      <c r="E46" s="818"/>
      <c r="F46" s="818"/>
      <c r="G46" s="818"/>
      <c r="I46" s="599" t="str">
        <f ca="1">IF(ROW(I46)-ROW(L$5)&gt;MAX(RRE!$V$13:$V$23),"",INDEX(RRE!$J$13:$J$23,MATCH(ROW(I46)-ROW(I$5),RRE!$V$13:$V$23,0)))</f>
        <v/>
      </c>
      <c r="J46" s="600" t="str">
        <f ca="1">IF(I46="","",SUMIF(RRE!$J$13:$J$23,OFÍCIO!$I46,RRE!$L$13:$L$23))</f>
        <v/>
      </c>
      <c r="K46" s="600" t="str">
        <f ca="1">IF(J46="","",SUMIF(RRE!$J$13:$J$23,OFÍCIO!$I46,RRE!$N$13:$N$23))</f>
        <v/>
      </c>
      <c r="L46" s="601" t="str">
        <f ca="1">IF(K46="","",SUMIF(RRE!$J$13:$J$23,OFÍCIO!$I46,RRE!$O$13:$O$23))</f>
        <v/>
      </c>
    </row>
    <row r="47" spans="2:12" x14ac:dyDescent="0.2">
      <c r="B47" s="16"/>
      <c r="C47" s="16"/>
      <c r="D47" s="16"/>
      <c r="E47" s="16"/>
      <c r="F47" s="16"/>
      <c r="G47" s="357"/>
    </row>
    <row r="48" spans="2:12" x14ac:dyDescent="0.2">
      <c r="B48" s="16"/>
      <c r="C48" s="16"/>
      <c r="D48" s="16"/>
      <c r="E48" s="16"/>
      <c r="F48" s="16"/>
      <c r="G48" s="357"/>
    </row>
    <row r="49" spans="2:7" x14ac:dyDescent="0.2">
      <c r="B49" s="61" t="s">
        <v>401</v>
      </c>
      <c r="C49" s="16"/>
      <c r="D49" s="16"/>
      <c r="E49" s="16"/>
      <c r="F49" s="16"/>
      <c r="G49" s="357"/>
    </row>
    <row r="50" spans="2:7" x14ac:dyDescent="0.2">
      <c r="B50" s="357"/>
      <c r="C50" s="357"/>
      <c r="D50" s="357"/>
      <c r="E50" s="357"/>
      <c r="F50" s="357"/>
      <c r="G50" s="357"/>
    </row>
    <row r="51" spans="2:7" x14ac:dyDescent="0.2">
      <c r="B51" s="506"/>
      <c r="C51" s="61"/>
      <c r="D51" s="61"/>
      <c r="E51" s="61"/>
      <c r="F51" s="61"/>
      <c r="G51" s="61"/>
    </row>
    <row r="52" spans="2:7" x14ac:dyDescent="0.2">
      <c r="B52" s="61"/>
      <c r="C52" s="61"/>
      <c r="D52" s="61"/>
      <c r="E52" s="61"/>
      <c r="F52" s="61"/>
      <c r="G52" s="61"/>
    </row>
    <row r="53" spans="2:7" x14ac:dyDescent="0.2">
      <c r="B53" s="521"/>
      <c r="C53" s="521"/>
      <c r="D53" s="521"/>
      <c r="E53" s="522"/>
      <c r="F53" s="522"/>
      <c r="G53" s="522"/>
    </row>
    <row r="54" spans="2:7" x14ac:dyDescent="0.2">
      <c r="B54" s="812" t="str">
        <f>DADOS!$F$28</f>
        <v>LUÍS FERNANDO ROSA DE CASTRO</v>
      </c>
      <c r="C54" s="812"/>
      <c r="D54" s="812"/>
      <c r="E54" s="812"/>
      <c r="F54" s="812"/>
      <c r="G54" s="812"/>
    </row>
    <row r="55" spans="2:7" x14ac:dyDescent="0.2">
      <c r="B55" s="812" t="str">
        <f>DADOS!$F$29</f>
        <v>PREFEITO MUNICIPAL</v>
      </c>
      <c r="C55" s="812"/>
      <c r="D55" s="812"/>
      <c r="E55" s="812"/>
      <c r="F55" s="812"/>
      <c r="G55" s="812"/>
    </row>
    <row r="56" spans="2:7" x14ac:dyDescent="0.2">
      <c r="B56" s="815"/>
      <c r="C56" s="815"/>
      <c r="D56" s="815"/>
      <c r="E56" s="815"/>
      <c r="F56" s="815"/>
      <c r="G56" s="815"/>
    </row>
  </sheetData>
  <sheetProtection password="BD1F" sheet="1" objects="1" scenarios="1" autoFilter="0"/>
  <mergeCells count="34">
    <mergeCell ref="L4:L5"/>
    <mergeCell ref="C6:D6"/>
    <mergeCell ref="B8:G8"/>
    <mergeCell ref="B10:D10"/>
    <mergeCell ref="B1:C4"/>
    <mergeCell ref="I4:I5"/>
    <mergeCell ref="J4:J5"/>
    <mergeCell ref="K4:K5"/>
    <mergeCell ref="B24:G26"/>
    <mergeCell ref="B28:C29"/>
    <mergeCell ref="B19:B20"/>
    <mergeCell ref="C19:G20"/>
    <mergeCell ref="C11:D11"/>
    <mergeCell ref="C14:G14"/>
    <mergeCell ref="C15:G16"/>
    <mergeCell ref="C18:G18"/>
    <mergeCell ref="B42:G46"/>
    <mergeCell ref="D28:D29"/>
    <mergeCell ref="E28:E29"/>
    <mergeCell ref="F28:G29"/>
    <mergeCell ref="B31:C31"/>
    <mergeCell ref="F31:G31"/>
    <mergeCell ref="B30:C30"/>
    <mergeCell ref="F30:G30"/>
    <mergeCell ref="B54:G54"/>
    <mergeCell ref="B32:C32"/>
    <mergeCell ref="F32:G32"/>
    <mergeCell ref="B55:G56"/>
    <mergeCell ref="B33:C33"/>
    <mergeCell ref="F33:G33"/>
    <mergeCell ref="B34:C34"/>
    <mergeCell ref="F34:G34"/>
    <mergeCell ref="B37:G38"/>
    <mergeCell ref="B39:G40"/>
  </mergeCells>
  <phoneticPr fontId="40" type="noConversion"/>
  <conditionalFormatting sqref="D30:D33 F30:G33">
    <cfRule type="cellIs" dxfId="0" priority="2" stopIfTrue="1" operator="notBetween">
      <formula>0</formula>
      <formula>D$33</formula>
    </cfRule>
  </conditionalFormatting>
  <dataValidations count="1">
    <dataValidation type="list" allowBlank="1" showErrorMessage="1" sqref="B11">
      <formula1>"GIGOV,SR"</formula1>
      <formula2>0</formula2>
    </dataValidation>
  </dataValidations>
  <pageMargins left="0.78740157480314998" right="0.78740157480314998" top="0.78740157480314998" bottom="0.78740157480314998" header="5.7086614173228396" footer="0.59055118110236204"/>
  <pageSetup paperSize="9" scale="97" firstPageNumber="0" orientation="portrait" horizontalDpi="300" verticalDpi="300" r:id="rId1"/>
  <headerFooter alignWithMargins="0">
    <oddHeader>&amp;L_</oddHeader>
    <oddFooter>&amp;LPMv3.0.4&amp;R&amp;P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21</vt:i4>
      </vt:variant>
    </vt:vector>
  </HeadingPairs>
  <TitlesOfParts>
    <vt:vector size="35" baseType="lpstr">
      <vt:lpstr>MENU</vt:lpstr>
      <vt:lpstr>DADOS</vt:lpstr>
      <vt:lpstr>NOVO</vt:lpstr>
      <vt:lpstr>BDI</vt:lpstr>
      <vt:lpstr>ORÇAMENTO</vt:lpstr>
      <vt:lpstr>CÁLCULO</vt:lpstr>
      <vt:lpstr>EVENTOS</vt:lpstr>
      <vt:lpstr>PLE</vt:lpstr>
      <vt:lpstr>CRONO</vt:lpstr>
      <vt:lpstr>CRONOPLE</vt:lpstr>
      <vt:lpstr>QCI</vt:lpstr>
      <vt:lpstr>BM</vt:lpstr>
      <vt:lpstr>RRE</vt:lpstr>
      <vt:lpstr>OFÍCIO</vt:lpstr>
      <vt:lpstr>BDI!Area_de_impressao</vt:lpstr>
      <vt:lpstr>BM!Area_de_impressao</vt:lpstr>
      <vt:lpstr>CÁLCULO!Area_de_impressao</vt:lpstr>
      <vt:lpstr>CRONO!Area_de_impressao</vt:lpstr>
      <vt:lpstr>CRONOPLE!Area_de_impressao</vt:lpstr>
      <vt:lpstr>EVENTOS!Area_de_impressao</vt:lpstr>
      <vt:lpstr>MENU!Area_de_impressao</vt:lpstr>
      <vt:lpstr>OFÍCIO!Area_de_impressao</vt:lpstr>
      <vt:lpstr>ORÇAMENTO!Area_de_impressao</vt:lpstr>
      <vt:lpstr>PLE!Area_de_impressao</vt:lpstr>
      <vt:lpstr>QCI!Area_de_impressao</vt:lpstr>
      <vt:lpstr>RRE!Area_de_impressao</vt:lpstr>
      <vt:lpstr>Fonte</vt:lpstr>
      <vt:lpstr>BDI!Titulos_de_impressao</vt:lpstr>
      <vt:lpstr>BM!Titulos_de_impressao</vt:lpstr>
      <vt:lpstr>CÁLCULO!Titulos_de_impressao</vt:lpstr>
      <vt:lpstr>CRONO!Titulos_de_impressao</vt:lpstr>
      <vt:lpstr>ORÇAMENTO!Titulos_de_impressao</vt:lpstr>
      <vt:lpstr>PLE!Titulos_de_impressao</vt:lpstr>
      <vt:lpstr>QCI!Titulos_de_impressao</vt:lpstr>
      <vt:lpstr>RRE!Titulos_de_impressao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Município</cp:lastModifiedBy>
  <cp:revision>5</cp:revision>
  <cp:lastPrinted>2024-06-04T17:39:33Z</cp:lastPrinted>
  <dcterms:created xsi:type="dcterms:W3CDTF">1997-01-10T22:22:50Z</dcterms:created>
  <dcterms:modified xsi:type="dcterms:W3CDTF">2024-07-22T19:27:28Z</dcterms:modified>
</cp:coreProperties>
</file>