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Plan1!$A$1:$I$91</definedName>
  </definedNames>
  <calcPr calcId="145621"/>
</workbook>
</file>

<file path=xl/calcChain.xml><?xml version="1.0" encoding="utf-8"?>
<calcChain xmlns="http://schemas.openxmlformats.org/spreadsheetml/2006/main">
  <c r="J37" i="1" l="1"/>
  <c r="I82" i="1"/>
  <c r="I45" i="1"/>
  <c r="J49" i="1"/>
  <c r="H81" i="1"/>
  <c r="I81" i="1" s="1"/>
  <c r="I80" i="1" s="1"/>
  <c r="H68" i="1"/>
  <c r="I68" i="1" s="1"/>
  <c r="J65" i="1"/>
  <c r="H65" i="1"/>
  <c r="I65" i="1" s="1"/>
  <c r="H66" i="1"/>
  <c r="I66" i="1" s="1"/>
  <c r="H67" i="1"/>
  <c r="I67" i="1" s="1"/>
  <c r="H49" i="1"/>
  <c r="I49" i="1" s="1"/>
  <c r="J79" i="1"/>
  <c r="J78" i="1"/>
  <c r="H74" i="1"/>
  <c r="I74" i="1" s="1"/>
  <c r="H76" i="1"/>
  <c r="I76" i="1" s="1"/>
  <c r="H75" i="1"/>
  <c r="I75" i="1" s="1"/>
  <c r="H73" i="1"/>
  <c r="I73" i="1" s="1"/>
  <c r="H71" i="1"/>
  <c r="I71" i="1" s="1"/>
  <c r="H70" i="1"/>
  <c r="I70" i="1" s="1"/>
  <c r="H72" i="1" l="1"/>
  <c r="I72" i="1" s="1"/>
  <c r="I69" i="1" s="1"/>
  <c r="H63" i="1"/>
  <c r="I63" i="1" s="1"/>
  <c r="H64" i="1"/>
  <c r="I64" i="1" s="1"/>
  <c r="H62" i="1"/>
  <c r="I62" i="1" s="1"/>
  <c r="H60" i="1"/>
  <c r="I60" i="1" s="1"/>
  <c r="H58" i="1"/>
  <c r="I58" i="1" s="1"/>
  <c r="H59" i="1"/>
  <c r="I59" i="1" s="1"/>
  <c r="I61" i="1" l="1"/>
  <c r="H57" i="1"/>
  <c r="I57" i="1" s="1"/>
  <c r="I56" i="1" s="1"/>
  <c r="H55" i="1"/>
  <c r="I55" i="1" s="1"/>
  <c r="H54" i="1"/>
  <c r="I54" i="1" s="1"/>
  <c r="H53" i="1"/>
  <c r="I53" i="1" s="1"/>
  <c r="J53" i="1"/>
  <c r="H52" i="1"/>
  <c r="I52" i="1" s="1"/>
  <c r="H51" i="1"/>
  <c r="I51" i="1" s="1"/>
  <c r="I50" i="1" s="1"/>
  <c r="J47" i="1"/>
  <c r="J48" i="1"/>
  <c r="H47" i="1"/>
  <c r="I47" i="1" s="1"/>
  <c r="J46" i="1"/>
  <c r="J43" i="1"/>
  <c r="J42" i="1"/>
  <c r="J40" i="1"/>
  <c r="J44" i="1"/>
  <c r="J33" i="1"/>
  <c r="J31" i="1"/>
  <c r="J30" i="1"/>
  <c r="J18" i="1"/>
  <c r="J41" i="1"/>
  <c r="J38" i="1"/>
  <c r="J35" i="1"/>
  <c r="J34" i="1"/>
  <c r="J29" i="1" l="1"/>
  <c r="J28" i="1"/>
  <c r="J26" i="1"/>
  <c r="J25" i="1"/>
  <c r="J13" i="1"/>
  <c r="H48" i="1"/>
  <c r="I48" i="1" s="1"/>
  <c r="H46" i="1"/>
  <c r="I46" i="1" s="1"/>
  <c r="H44" i="1"/>
  <c r="I44" i="1" s="1"/>
  <c r="H41" i="1"/>
  <c r="I41" i="1" s="1"/>
  <c r="H38" i="1"/>
  <c r="I38" i="1" s="1"/>
  <c r="H37" i="1"/>
  <c r="I37" i="1" s="1"/>
  <c r="H35" i="1"/>
  <c r="I35" i="1" s="1"/>
  <c r="H34" i="1"/>
  <c r="I34" i="1" s="1"/>
  <c r="H33" i="1"/>
  <c r="I33" i="1" s="1"/>
  <c r="H31" i="1"/>
  <c r="I31" i="1" s="1"/>
  <c r="H30" i="1"/>
  <c r="I30" i="1" s="1"/>
  <c r="H28" i="1"/>
  <c r="I28" i="1" s="1"/>
  <c r="H25" i="1"/>
  <c r="I25" i="1" s="1"/>
  <c r="J23" i="1"/>
  <c r="J22" i="1"/>
  <c r="J21" i="1"/>
  <c r="H23" i="1"/>
  <c r="I23" i="1" s="1"/>
  <c r="H22" i="1"/>
  <c r="I22" i="1" s="1"/>
  <c r="H21" i="1"/>
  <c r="I21" i="1" s="1"/>
  <c r="H26" i="1"/>
  <c r="I26" i="1" s="1"/>
  <c r="J17" i="1"/>
  <c r="J16" i="1"/>
  <c r="J15" i="1"/>
  <c r="H13" i="1"/>
  <c r="I13" i="1" s="1"/>
  <c r="I24" i="1" l="1"/>
  <c r="I20" i="1"/>
  <c r="I36" i="1"/>
  <c r="I32" i="1"/>
  <c r="H17" i="1" l="1"/>
  <c r="I17" i="1" s="1"/>
  <c r="H40" i="1" l="1"/>
  <c r="I40" i="1" s="1"/>
  <c r="H42" i="1"/>
  <c r="I42" i="1" s="1"/>
  <c r="H43" i="1"/>
  <c r="I43" i="1" s="1"/>
  <c r="H78" i="1"/>
  <c r="I78" i="1" s="1"/>
  <c r="H29" i="1"/>
  <c r="I29" i="1" s="1"/>
  <c r="I27" i="1" s="1"/>
  <c r="H18" i="1"/>
  <c r="I18" i="1" s="1"/>
  <c r="H16" i="1"/>
  <c r="I16" i="1" s="1"/>
  <c r="I39" i="1" l="1"/>
  <c r="H12" i="1"/>
  <c r="I12" i="1" s="1"/>
  <c r="I11" i="1" s="1"/>
  <c r="H79" i="1"/>
  <c r="I79" i="1" s="1"/>
  <c r="I77" i="1" s="1"/>
  <c r="H19" i="1" l="1"/>
  <c r="I19" i="1" s="1"/>
  <c r="H15" i="1" l="1"/>
  <c r="I15" i="1" s="1"/>
  <c r="I14" i="1" s="1"/>
</calcChain>
</file>

<file path=xl/sharedStrings.xml><?xml version="1.0" encoding="utf-8"?>
<sst xmlns="http://schemas.openxmlformats.org/spreadsheetml/2006/main" count="338" uniqueCount="212">
  <si>
    <t/>
  </si>
  <si>
    <t>1.1</t>
  </si>
  <si>
    <t>SINAPI</t>
  </si>
  <si>
    <t>M2</t>
  </si>
  <si>
    <t>ITEM</t>
  </si>
  <si>
    <t>FONTE</t>
  </si>
  <si>
    <t>DESCRIÇÃO</t>
  </si>
  <si>
    <t>UNID</t>
  </si>
  <si>
    <t>QUANT</t>
  </si>
  <si>
    <t>CUSTO UNITÁRIO (R$)</t>
  </si>
  <si>
    <t>UNITÁRIO COM BDI (R$)</t>
  </si>
  <si>
    <t>VALOR TOTAL COM BDI (R$)</t>
  </si>
  <si>
    <t>CODIGO</t>
  </si>
  <si>
    <t xml:space="preserve">BDI: </t>
  </si>
  <si>
    <t>CREA: 56.250/D</t>
  </si>
  <si>
    <t>PLANILHA ORÇAMENTÁRIA</t>
  </si>
  <si>
    <t>1.0</t>
  </si>
  <si>
    <t>M3</t>
  </si>
  <si>
    <t>93358</t>
  </si>
  <si>
    <t>ESCAVAÇÃO MANUAL DE VALA COM PROFUNDIDADE MENOR OU IGUAL A 1,30 M. AF_02/2021</t>
  </si>
  <si>
    <t>94967</t>
  </si>
  <si>
    <t>JOSÉ AIRTON JUNHO DOS REIS</t>
  </si>
  <si>
    <t>ENGENHEIRO CIVIL</t>
  </si>
  <si>
    <t>PREFEITO MUNICIPAL</t>
  </si>
  <si>
    <t>93205</t>
  </si>
  <si>
    <t>CINTA DE AMARRAÇÃO DE ALVENARIA MOLDADA IN LOCO COM UTILIZAÇÃO DE BLOCOS CANALETA. AF_03/2016</t>
  </si>
  <si>
    <t>M</t>
  </si>
  <si>
    <t>SETOP</t>
  </si>
  <si>
    <t>101173</t>
  </si>
  <si>
    <t>KG</t>
  </si>
  <si>
    <t>87879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</si>
  <si>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</si>
  <si>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</si>
  <si>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88485</t>
  </si>
  <si>
    <t>88489</t>
  </si>
  <si>
    <t>SERVIÇOS PRELIMINARES</t>
  </si>
  <si>
    <t>2.0</t>
  </si>
  <si>
    <t>2.1</t>
  </si>
  <si>
    <t>2.2</t>
  </si>
  <si>
    <t>2.3</t>
  </si>
  <si>
    <t>2.4</t>
  </si>
  <si>
    <t>2.5</t>
  </si>
  <si>
    <t>92762</t>
  </si>
  <si>
    <t>ARMAÇÃO DE PILAR OU VIGA DE UMA ESTRUTURA CONVENCIONAL DE CONCRETO ARMADO EM UTILIZANDO AÇO CA-50 DE 10,0 MM - MONTAGEM. AF_06/2022</t>
  </si>
  <si>
    <t>CONCRETO FCK = 40MPA, TRAÇO 1:1,6:1,9 (EM MASSA SECA DE CIMENTO/ AREIA MÉDIA/ BRITA 1)- PREPARO MECÂNICO COM BETONEIRA 400 L. AF_05/2021</t>
  </si>
  <si>
    <t>CHAPISCO APLICADO EM ALVENARIAS E ESTRUTURAS DE CONCRETO INTERNAS, COM COLHER DE PEDREIRO. ARGAMASSA TRAÇO 1:3 COM PREPARO EM BETONEIRA 400L. AF_10/2022</t>
  </si>
  <si>
    <t>FORNECIMENTO E COLOCAÇÃO DE PLACA DE OBRA EM CHAPA GALVANIZADA #26, ESP. 0,45MM, DIMENSÃO (3X1,5)M, PLOTADA COM ADESIVO VINÍLICO, AFIXADA COM REBITES 4,8X40MM, EM ESTRUTURA METÁLICA DE METALON 20X20MM, ESP. 1,25MM, INCLUSIVE SUPORTE EM EUCALIPTO AUTOCLAVADO PINTADO COM TINTA PVA DUAS (2) DEMÃOS</t>
  </si>
  <si>
    <t>ED-28427</t>
  </si>
  <si>
    <t>96536</t>
  </si>
  <si>
    <t xml:space="preserve">FABRICAÇÃO, MONTAGEM E DESMONTAGEM DE FÔRMA PARA VIGA BALDRAME, EM MADEIRA SERRADA, E=25 MM, 4 UTILIZAÇÕES. AF_06/2017 </t>
  </si>
  <si>
    <t>MUNICÍPIO: CONCEIÇÃO DOS OUROS/MG</t>
  </si>
  <si>
    <t>END.: BAIRRO CHÁCARA</t>
  </si>
  <si>
    <t>LUÍS FERNANDO ROSA DE CASTRO</t>
  </si>
  <si>
    <t>103320</t>
  </si>
  <si>
    <t>ALVENARIA DE VEDAÇÃO DE BLOCOS VAZADOS DE CONCRETO DE 19X19X39 CM (ESPESSURA 19 CM) E ARGAMASSA DE ASSENTAMENTO COM PREPARO EM BETONEIRA. AF_12/2021</t>
  </si>
  <si>
    <t>FUNDO SELADOR ACRÍLICO, APLICAÇÃO MANUAL EM PAREDE, UMA DEMÃO. AF_04/2023</t>
  </si>
  <si>
    <t>PINTURA LÁTEX ACRÍLICA PREMIUM, APLICAÇÃO MANUAL EM PAREDES, DUAS DEMÃOS. AF_04/2023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</si>
  <si>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</si>
  <si>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DATA: 15/08/2023</t>
  </si>
  <si>
    <t>103318</t>
  </si>
  <si>
    <t>ALVENARIA DE VEDAÇÃO DE BLOCOS VAZADOS DE CONCRETO DE 14X19X39 CM (ESPESSURA 14 CM) E ARGAMASSA DE ASSENTAMENTO COM PREPARO EM BETONEIRA. AF_12/2021</t>
  </si>
  <si>
    <t>DATA BASE SINAPI: 06/2023 (DESONERADO) E SETOP: 04/2023 (DESONERADO)</t>
  </si>
  <si>
    <t>1.2</t>
  </si>
  <si>
    <t>LOCAÇÃO DE OBRA COM GABARITO DE TÁBUAS CORRIDAS PONTALETADAS A CADA 2,00M, REAPROVEITAMENTO (2X), INCLUSIVE ACOMPANHAMENTO DE EQUIPE TOPOGRÁFICA PARA
MARCAÇÃO DE PONTO TOPOGRÁFICO</t>
  </si>
  <si>
    <t>ED-17989</t>
  </si>
  <si>
    <t>ESTACA BROCA DE CONCRETO, DIÂMETRO DE 20 CM, ESCAVAÇÃO MANUAL COM TRADO CONCHA, COM ARMADURA DE ARRANQUE. AF_05/2020</t>
  </si>
  <si>
    <t>FUNDAÇÃO (VB E BLOCOS)</t>
  </si>
  <si>
    <t>VB+BLOCO</t>
  </si>
  <si>
    <t>3.0</t>
  </si>
  <si>
    <t>3.1</t>
  </si>
  <si>
    <t>3.2</t>
  </si>
  <si>
    <t>3.3</t>
  </si>
  <si>
    <t>SUPRAESTRUTURA (PILARES E VIGAS PISO/FARMÁCIA)</t>
  </si>
  <si>
    <t>4.0</t>
  </si>
  <si>
    <t>LAJE DE PISO</t>
  </si>
  <si>
    <t>LAJE PRÉ-MOLDADA UNIDIRECIONAL, BIAPOIADA, PARA PISO, ENCHIMENTO EM CERÂMICA, VIGOTA CONVENCIONAL, ALTURA TOTAL DA LAJE (ENCHIMENTO+CAPA) =(8+4). AF_11/2020_PA</t>
  </si>
  <si>
    <t>101963</t>
  </si>
  <si>
    <t>FABRICAÇÃO DE ESCORAS DO TIPO PONTALETE, EM MADEIRA, PARA PÉ-DIREITO SIMPLES. AF_09/2020</t>
  </si>
  <si>
    <t>92273</t>
  </si>
  <si>
    <t>4.1</t>
  </si>
  <si>
    <t>4.2</t>
  </si>
  <si>
    <t>5.0</t>
  </si>
  <si>
    <t>ALVENARIA SUB SOLO</t>
  </si>
  <si>
    <t>5.1</t>
  </si>
  <si>
    <t>5.2</t>
  </si>
  <si>
    <t>5.3</t>
  </si>
  <si>
    <t>5.4</t>
  </si>
  <si>
    <t>6.0</t>
  </si>
  <si>
    <t>6.1</t>
  </si>
  <si>
    <t>6.2</t>
  </si>
  <si>
    <t>6.3</t>
  </si>
  <si>
    <t>(PILARES E VIGAS AÉREAS)</t>
  </si>
  <si>
    <t>7.0</t>
  </si>
  <si>
    <t>7.1</t>
  </si>
  <si>
    <t>7.2</t>
  </si>
  <si>
    <t>101964</t>
  </si>
  <si>
    <t>LAJE PRÉ-MOLDADA UNIDIRECIONAL, BIAPOIADA, PARA FORRO, ENCHIMENTO EM CERÂMICA, VIGOTA CONVENCIONAL, ALTURA TOTAL DA LAJE (ENCHIMENTO+CAPA) =(8+3). AF_11/2020_PA</t>
  </si>
  <si>
    <t>8.0</t>
  </si>
  <si>
    <t>ALVENARIA 1º PAVIMENTO</t>
  </si>
  <si>
    <t>8.1</t>
  </si>
  <si>
    <t>8.2</t>
  </si>
  <si>
    <t>8.3</t>
  </si>
  <si>
    <t>8.4</t>
  </si>
  <si>
    <t>8.5</t>
  </si>
  <si>
    <t>9.0</t>
  </si>
  <si>
    <t>PISO</t>
  </si>
  <si>
    <t>9.1</t>
  </si>
  <si>
    <t>PISO EM CONCRETO 20 MPA PREPARO MECÂNICO, ESPESSURA 7CM. AF_09/2020</t>
  </si>
  <si>
    <t>101747</t>
  </si>
  <si>
    <t>REVESTIMENTO CERÂMICO PARA PISO COM PLACAS TIPO ESMALTADA EXTRA DE DIMENSÕES 60X60 CM APLICADA EM AMBIENTES DE ÁREA ENTRE 5 M2 E 10 M2. AF_02/2023_PE</t>
  </si>
  <si>
    <t>87256</t>
  </si>
  <si>
    <t>9.2</t>
  </si>
  <si>
    <t>10.0</t>
  </si>
  <si>
    <t xml:space="preserve">PINTURA  </t>
  </si>
  <si>
    <t>PRAZO DE EXECUÇÃO: 150 DIAS</t>
  </si>
  <si>
    <t>APLICAÇÃO MANUAL DE GESSO DESEMPENADO (SEM TALISCAS) EM TETO DE AMBIENTES DE ÁREA ENTRE 5M² E 10M², ESPESSURA DE 1,0CM. AF_03/2023</t>
  </si>
  <si>
    <t>87415</t>
  </si>
  <si>
    <t>teto+paredes</t>
  </si>
  <si>
    <t>(COMPOSIÇÃO REPRESENTATIVA) DO SERVIÇO DE CONTRAPISO EM ARGAMASSA TRAÇO 1:4 (CIM E AREIA), BETONEIRA 400 L, E = 4 CM ÁREAS SECAS E MOLHADASSOBRE LAJE , E = 3 CM ÁREAS MOLHADAS SOBRE IMPERMEABILIZAÇÃO, CASA E EDIFICAÇÃO PÚBLICA PADRÃO. AF_11/2014</t>
  </si>
  <si>
    <t>94439</t>
  </si>
  <si>
    <t>9.3</t>
  </si>
  <si>
    <t>COBERTURA</t>
  </si>
  <si>
    <t>10.1</t>
  </si>
  <si>
    <t>92540</t>
  </si>
  <si>
    <t>TRAMA DE MADEIRA COMPOSTA POR TERÇAS PARA TELHADOS DE MAIS QUE 2 ÁGUAS PARA TELHA ONDULADA DE FIBROCIMENTO, INCLUSO TRANSPORTE VERTICAL. AF_07/2019</t>
  </si>
  <si>
    <t>TELHAMENTO COM TELHA DE FIBROCIMENTO, COM MAIS DE 2 ÁGUAS, INCLUSO TRANSPORTE VERTICAL. AF_07/2019</t>
  </si>
  <si>
    <t>10.2</t>
  </si>
  <si>
    <t>92541</t>
  </si>
  <si>
    <t>CALHA EM CHAPA DE AÇO GALVANIZADO NÚMERO 24, DESENVOLVIMENTO DE 50 CM, INCLUSO TRANSPORTE VERTICAL. AF_07/2019</t>
  </si>
  <si>
    <t>94228</t>
  </si>
  <si>
    <t>10.3</t>
  </si>
  <si>
    <t>10.4</t>
  </si>
  <si>
    <t>RUFO EXTERNO/INTERNO EM CHAPA DE AÇO GALVANIZADO NÚMERO 26, CORTE DE 33 CM, INCLUSO IÇAMENTO. AF_07/2019</t>
  </si>
  <si>
    <t>100327</t>
  </si>
  <si>
    <t>10.5</t>
  </si>
  <si>
    <t>89578</t>
  </si>
  <si>
    <t>TUBO PVC, SÉRIE R, ÁGUA PLUVIAL, DN 100 MM, FORNECIDO E INSTALADO EM CONDUTORES VERTICAIS DE ÁGUAS PLUVIAIS. AF_06/2022</t>
  </si>
  <si>
    <t>ESQUADRIAS</t>
  </si>
  <si>
    <t>102180</t>
  </si>
  <si>
    <t>INSTALAÇÃO DE VIDRO TEMPERADO, E = 8 MM, ENCAIXADO EM PERFIL U. AF_01/2021_PS</t>
  </si>
  <si>
    <t>11.1</t>
  </si>
  <si>
    <t>11.0</t>
  </si>
  <si>
    <t>11.2</t>
  </si>
  <si>
    <t>102181</t>
  </si>
  <si>
    <t>11.3</t>
  </si>
  <si>
    <t>PORTA DE VIDRO TEMPERADO DE 10MM, INCLUSIVE ACESSÓRIOS E INSTALAÇÃO</t>
  </si>
  <si>
    <t>SOLEIRA EM GRANITO, NA COR CINZA ANDORINHA, ESP. 3CM, INCLUSIVE REJUNTAMENTO</t>
  </si>
  <si>
    <t>ED-51003</t>
  </si>
  <si>
    <t>11.4</t>
  </si>
  <si>
    <t>PORTÃO EM PERFIL E CHAPA METÁLICA COLOCADO COM CADEADO</t>
  </si>
  <si>
    <t>ED-50985</t>
  </si>
  <si>
    <t>12.0</t>
  </si>
  <si>
    <t>INSTALAÇÃO ELÉTRICA</t>
  </si>
  <si>
    <t>13.0</t>
  </si>
  <si>
    <t>INSTALAÇÃO HIDRO-SANITÁRIA</t>
  </si>
  <si>
    <t>UN</t>
  </si>
  <si>
    <t>91926</t>
  </si>
  <si>
    <t>CABO DE COBRE FLEXÍVEL ISOLADO, 2,5 MM², ANTI-CHAMA 450/750 V, PARA CIRCUITOS TERMINAIS - FORNECIMENTO E INSTALAÇÃO. AF_03/2023</t>
  </si>
  <si>
    <t>91928</t>
  </si>
  <si>
    <t>CABO DE COBRE FLEXÍVEL ISOLADO, 4 MM², ANTI-CHAMA 450/750 V, PARA CIRCUITOS TERMINAIS - FORNECIMENTO E INSTALAÇÃO. AF_03/2023</t>
  </si>
  <si>
    <t>91854</t>
  </si>
  <si>
    <t>ELETRODUTO FLEXÍVEL CORRUGADO, PVC, DN 25 MM (3/4"), PARA CIRCUITOS TERMINAIS, INSTALADO EM PAREDE - FORNECIMENTO E INSTALAÇÃO. AF_03/2023</t>
  </si>
  <si>
    <t>ED-50227</t>
  </si>
  <si>
    <t>PONTO DE EMBUTIR PARA UM (1) INTERRUPTOR SIMPLES (10A-250V), COM PLACA 4"X2" DE UM (1) POSTO, COM ELETRODUTO FLEXÍVEL CORRUGADO, ANTI-CHAMA, DN 25MM (3/4"), EMBUTIDO NA ALVENARIA E CABO DE COBRE FLEXÍVEL, CLASSE 5, ISOLAMENTO TIPO LSHF/ATOX, NÃO HALOGENADO, SEÇÃO 1,5MM2 (70°C-450/750V), COM DISTÂNCIA DE ATÉ DEZ (10) METROS DO PONTO DE DERIVAÇÃO, INCLUSIVE CAIXA DE LIGAÇÃO, SUPORTE E FIXAÇÃO DO ELETRODUTO COM ENCHIMENTO DO RASGO NA ALVENARIA/CONCRETO COM ARGAMASSA</t>
  </si>
  <si>
    <t>ED-50232</t>
  </si>
  <si>
    <t>PONTO DE EMBUTIR PARA UMA (1) TOMADA PADRÃO, TRÊS (3) POLOS (2P+T/10A-250V), COM PLACA 4"X2" DE UM (1) POSTO, COM ELETRODUTO FLEXÍVEL CORRUGADO, ANTI-CHAMA, DN 25MM (3/4"), EMBUTIDO NA ALVENARIA E CABO DE COBRE FLEXÍVEL, CLASSE 5, ISOLAMENTO TIPO LSHF/ATOX, NÃO HALOGENADO, SEÇÃO 2,5MM2 (70°C 450/750V), COM DISTÂNCIA DE ATÉ DEZ (10) METROS DO PONTO DE DERIVAÇÃO, INCLUSIVE CAIXA DE LIGAÇÃO, SUPORTE E FIXAÇÃO DO ELETRODUTO COM ENCHIMENTO DO RASGO NA ALVENARIA/CONCRETO COM ARGAMASSA</t>
  </si>
  <si>
    <t>ED-50228</t>
  </si>
  <si>
    <t>PONTO DE EMBUTIR PARA UMA (1) LUMINÁRIA,COM ELETRODUTO DE PVC RÍGIDO ROSCÁVEL, DN 20MM (3/4"), EMBUTIDO NA LAJE E CABO DE COBRE FLEXÍVEL, CLASSE 5, ISOLAMENTO TIPO LSHF/ATOX, NÃO HALOGENADO, SEÇÃO 1,5MM2 (70°C-450/750V), COM DISTÂNCIA DE ATÉ CINCO (5) METROS DO PONTO DE DERIVAÇÃO, EXCLUSIVE LUMINÁRIA, INCLUSIVE CAIXA DE LIGAÇÃO OCTOGONAL, SUPORTE E FIXAÇÃO DO ELETRODUTO</t>
  </si>
  <si>
    <t>103782</t>
  </si>
  <si>
    <t>LUMINÁRIA TIPO PLAFON CIRCULAR, DE SOBREPOR, COM LED DE 12/13 W - FORNECIMENTO E INSTALAÇÃO. AF_03/2022</t>
  </si>
  <si>
    <t>13.1</t>
  </si>
  <si>
    <t>12.1</t>
  </si>
  <si>
    <t>13.2</t>
  </si>
  <si>
    <t>13.3</t>
  </si>
  <si>
    <t>13.4</t>
  </si>
  <si>
    <t>13.5</t>
  </si>
  <si>
    <t>13.6</t>
  </si>
  <si>
    <t>13.7</t>
  </si>
  <si>
    <t>14.0</t>
  </si>
  <si>
    <t>14.1</t>
  </si>
  <si>
    <t>14.2</t>
  </si>
  <si>
    <t>9.4</t>
  </si>
  <si>
    <t>88650</t>
  </si>
  <si>
    <t>RODAPÉ CERÂMICO DE 7CM DE ALTURA COM PLACAS TIPO ESMALTADA EXTRA DE DIMENSÕES 60X60CM. AF_02/2023</t>
  </si>
  <si>
    <t>ED-48343</t>
  </si>
  <si>
    <t>BANCADA EM GRANITO CINZA ANDORINHA E = 3 CM, APOIADA EM CONSOLE DE METALON 20 X 30 MM</t>
  </si>
  <si>
    <t>86935</t>
  </si>
  <si>
    <t>CUBA DE EMBUTIR DE AÇO INOXIDÁVEL MÉDIA, INCLUSO VÁLVULA TIPO AMERICANA EM METAL CROMADO E SIFÃO FLEXÍVEL EM PVC - FORNECIMENTO E INSTALAÇÃO. AF_01/2020</t>
  </si>
  <si>
    <t>86884</t>
  </si>
  <si>
    <t>ENGATE FLEXÍVEL EM PLÁSTICO BRANCO, 1/2 X 30CM - FORNECIMENTO E INSTALAÇÃO. AF_01/2020</t>
  </si>
  <si>
    <t>TORNEIRA CROMADA LONGA, DE PAREDE, 1/2 OU 3/4, PARA PIA DE COZINHA, PADRÃO POPULAR - FORNECIMENTO E INSTALAÇÃO. AF_01/2020</t>
  </si>
  <si>
    <t>86911</t>
  </si>
  <si>
    <t>12.2</t>
  </si>
  <si>
    <t>12.3</t>
  </si>
  <si>
    <t>12.4</t>
  </si>
  <si>
    <t>12.5</t>
  </si>
  <si>
    <t>12.6</t>
  </si>
  <si>
    <t>12.7</t>
  </si>
  <si>
    <t>ED-50221</t>
  </si>
  <si>
    <t>PONTO DE EMBUTIR PARA ÁGUA FRIA EM TUBO DE PVC RÍGIDO SOLDÁVEL, DN 20MM (1/2"), EMBUTIDO NA ALVENARIA COM DISTÂNCIA DE ATÉ CINCO (5) METROS DA TOMADA DE ÁGUA, INCLUSIVE CONEXÕES E FIXAÇÃO DO TUBO COM ENCHIMENTO DO RASGO NA ALVENARIA/CONCRETO COM ARGAMASSA</t>
  </si>
  <si>
    <t>PONTO DE EMBUTIR PARA ESGOTO EM TUBO PVC RÍGIDO, PB - SÉRIE NORMAL, DN 40MM (1.1/2"), EMBUTIDO NA ALVENARIA/PISO, COM ALTURA (SAÍDA) DE 50CM DO PISO, COM DISTÂNCIA DE ATÉ CINCO (5) METROS DA RAMAL DE ESGOTO, EXCLUSIVE ESCAVAÇÃO, INCLUSIVE CONEXÕES E FIXAÇÃO DO TUBO COM ENCHIMENTO DO RASGO NA ALVENARIA/CONCRETO COM ARGAMASSA</t>
  </si>
  <si>
    <t>ED-50223</t>
  </si>
  <si>
    <t>PONTO DE EMBUTIR PARA ESGOTO EM TUBO PVC RÍGIDO, PBV - SÉRIE NORMAL, DN 50MM (2"), EMBUTIDO EM PISO COM DISTÂNCIA DE ATÉ CINCO (5) METROS DA RAMAL DE ESGOTO, EXCLUSIVE ESCAVAÇÃO, INCLUSIVE CONEXÕES E FIXAÇÃO DO TUBO COM ENCHIMENTO DO RASGO NO CONCRETO COM ARGAMASSA</t>
  </si>
  <si>
    <t>ED-50224</t>
  </si>
  <si>
    <t>LIMPEZA</t>
  </si>
  <si>
    <t>15.0</t>
  </si>
  <si>
    <t>15.1</t>
  </si>
  <si>
    <t>LIMPEZA FINAL PARA ENTREGA DA OBRA</t>
  </si>
  <si>
    <t>ED-50266</t>
  </si>
  <si>
    <t>TOTAL DA OBRA</t>
  </si>
  <si>
    <t xml:space="preserve">OBRA: EXECUÇÃO DE SALA DE VACINA COM GARAGEM NO SUBSOLO </t>
  </si>
  <si>
    <t>LAJE DE FORRO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</si>
</sst>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0" fillId="0" borderId="0" xfId="0"/>
    <xf numFmtId="0" fontId="0" fillId="0" borderId="0" xfId="0" applyBorder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Alignment="1"/>
    <xf numFmtId="43" fontId="7" fillId="2" borderId="0" xfId="8" applyFont="1" applyFill="1" applyBorder="1" applyAlignment="1">
      <alignment horizontal="right" vertical="center"/>
    </xf>
    <xf numFmtId="43" fontId="0" fillId="0" borderId="0" xfId="0" applyNumberFormat="1"/>
    <xf numFmtId="3" fontId="5" fillId="0" borderId="0" xfId="0" applyNumberFormat="1" applyFont="1" applyBorder="1"/>
    <xf numFmtId="0" fontId="5" fillId="0" borderId="0" xfId="0" applyFont="1" applyBorder="1"/>
    <xf numFmtId="0" fontId="6" fillId="0" borderId="1" xfId="0" applyFont="1" applyBorder="1" applyAlignment="1">
      <alignment horizontal="right" vertical="center"/>
    </xf>
    <xf numFmtId="10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41" fontId="9" fillId="0" borderId="2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43" fontId="9" fillId="0" borderId="7" xfId="0" applyNumberFormat="1" applyFont="1" applyBorder="1" applyAlignment="1">
      <alignment horizontal="right" vertical="center"/>
    </xf>
    <xf numFmtId="0" fontId="11" fillId="2" borderId="5" xfId="0" applyFont="1" applyFill="1" applyBorder="1" applyAlignment="1" applyProtection="1">
      <alignment horizontal="center" vertical="center" wrapText="1"/>
    </xf>
    <xf numFmtId="49" fontId="11" fillId="2" borderId="9" xfId="0" applyNumberFormat="1" applyFont="1" applyFill="1" applyBorder="1" applyAlignment="1" applyProtection="1">
      <alignment horizontal="center" vertical="center" wrapText="1"/>
    </xf>
    <xf numFmtId="41" fontId="11" fillId="0" borderId="5" xfId="0" applyNumberFormat="1" applyFont="1" applyFill="1" applyBorder="1" applyAlignment="1" applyProtection="1">
      <alignment horizontal="center" vertical="center"/>
    </xf>
    <xf numFmtId="43" fontId="11" fillId="0" borderId="5" xfId="8" applyFont="1" applyFill="1" applyBorder="1" applyAlignment="1" applyProtection="1">
      <alignment horizontal="right" vertical="center"/>
    </xf>
    <xf numFmtId="43" fontId="11" fillId="0" borderId="10" xfId="8" applyFont="1" applyFill="1" applyBorder="1" applyAlignment="1" applyProtection="1">
      <alignment horizontal="right" vertical="center"/>
    </xf>
    <xf numFmtId="43" fontId="9" fillId="0" borderId="5" xfId="8" applyFont="1" applyBorder="1" applyAlignment="1">
      <alignment horizontal="right" vertical="center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43" fontId="11" fillId="2" borderId="6" xfId="8" applyFont="1" applyFill="1" applyBorder="1" applyAlignment="1" applyProtection="1">
      <alignment horizontal="right" vertical="center" wrapText="1"/>
      <protection locked="0"/>
    </xf>
    <xf numFmtId="43" fontId="11" fillId="0" borderId="4" xfId="8" applyFont="1" applyFill="1" applyBorder="1" applyAlignment="1" applyProtection="1">
      <alignment horizontal="right" vertical="center"/>
    </xf>
    <xf numFmtId="43" fontId="11" fillId="0" borderId="6" xfId="8" applyFont="1" applyBorder="1" applyAlignment="1">
      <alignment horizontal="right" vertical="center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6" xfId="0" applyNumberFormat="1" applyFont="1" applyFill="1" applyBorder="1" applyAlignment="1" applyProtection="1">
      <alignment horizontal="left" vertical="center" wrapText="1"/>
    </xf>
    <xf numFmtId="41" fontId="11" fillId="0" borderId="6" xfId="0" applyNumberFormat="1" applyFont="1" applyFill="1" applyBorder="1" applyAlignment="1" applyProtection="1">
      <alignment horizontal="center" vertical="center"/>
    </xf>
    <xf numFmtId="43" fontId="11" fillId="0" borderId="6" xfId="8" applyFont="1" applyFill="1" applyBorder="1" applyAlignment="1" applyProtection="1">
      <alignment horizontal="right" vertical="center"/>
    </xf>
    <xf numFmtId="2" fontId="11" fillId="0" borderId="13" xfId="0" applyNumberFormat="1" applyFont="1" applyFill="1" applyBorder="1" applyAlignment="1" applyProtection="1">
      <alignment horizontal="left" vertical="center" wrapText="1"/>
    </xf>
    <xf numFmtId="0" fontId="6" fillId="0" borderId="7" xfId="0" applyFont="1" applyBorder="1"/>
    <xf numFmtId="4" fontId="5" fillId="0" borderId="0" xfId="0" applyNumberFormat="1" applyFont="1"/>
    <xf numFmtId="0" fontId="11" fillId="2" borderId="14" xfId="0" applyFont="1" applyFill="1" applyBorder="1" applyAlignment="1" applyProtection="1">
      <alignment horizontal="center" vertical="center" wrapText="1"/>
    </xf>
    <xf numFmtId="43" fontId="12" fillId="2" borderId="6" xfId="8" applyFont="1" applyFill="1" applyBorder="1" applyAlignment="1" applyProtection="1">
      <alignment horizontal="right" vertical="center" wrapText="1"/>
      <protection locked="0"/>
    </xf>
    <xf numFmtId="43" fontId="12" fillId="2" borderId="5" xfId="8" applyFont="1" applyFill="1" applyBorder="1" applyAlignment="1" applyProtection="1">
      <alignment horizontal="right" vertical="center" wrapText="1"/>
      <protection locked="0"/>
    </xf>
    <xf numFmtId="43" fontId="11" fillId="0" borderId="5" xfId="8" applyFont="1" applyBorder="1" applyAlignment="1">
      <alignment horizontal="right" vertical="center"/>
    </xf>
    <xf numFmtId="0" fontId="6" fillId="0" borderId="0" xfId="0" applyFont="1"/>
    <xf numFmtId="0" fontId="6" fillId="0" borderId="0" xfId="0" applyFont="1" applyBorder="1"/>
    <xf numFmtId="3" fontId="6" fillId="0" borderId="0" xfId="0" applyNumberFormat="1" applyFont="1" applyBorder="1"/>
    <xf numFmtId="43" fontId="11" fillId="0" borderId="0" xfId="8" applyFont="1" applyFill="1" applyBorder="1" applyAlignment="1">
      <alignment horizontal="right" vertical="center"/>
    </xf>
    <xf numFmtId="43" fontId="12" fillId="0" borderId="0" xfId="8" applyFont="1" applyFill="1" applyBorder="1" applyAlignment="1">
      <alignment horizontal="left" vertical="center"/>
    </xf>
    <xf numFmtId="43" fontId="13" fillId="0" borderId="0" xfId="8" applyFont="1" applyFill="1" applyBorder="1" applyAlignment="1">
      <alignment horizontal="right" vertical="center"/>
    </xf>
    <xf numFmtId="0" fontId="11" fillId="2" borderId="14" xfId="0" applyFont="1" applyFill="1" applyBorder="1" applyAlignment="1" applyProtection="1">
      <alignment horizontal="center" vertical="center" wrapText="1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4" xfId="0" applyNumberFormat="1" applyFont="1" applyFill="1" applyBorder="1" applyAlignment="1" applyProtection="1">
      <alignment horizontal="center" vertical="center"/>
    </xf>
    <xf numFmtId="43" fontId="11" fillId="0" borderId="14" xfId="8" applyFont="1" applyFill="1" applyBorder="1" applyAlignment="1" applyProtection="1">
      <alignment horizontal="right" vertical="center"/>
    </xf>
    <xf numFmtId="43" fontId="11" fillId="2" borderId="14" xfId="8" applyFont="1" applyFill="1" applyBorder="1" applyAlignment="1" applyProtection="1">
      <alignment horizontal="right" vertical="center" wrapText="1"/>
      <protection locked="0"/>
    </xf>
    <xf numFmtId="43" fontId="11" fillId="0" borderId="11" xfId="8" applyFont="1" applyFill="1" applyBorder="1" applyAlignment="1" applyProtection="1">
      <alignment horizontal="right" vertical="center"/>
    </xf>
    <xf numFmtId="43" fontId="11" fillId="0" borderId="14" xfId="8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2" fontId="11" fillId="0" borderId="12" xfId="0" applyNumberFormat="1" applyFont="1" applyFill="1" applyBorder="1" applyAlignment="1" applyProtection="1">
      <alignment horizontal="left" vertical="center" wrapText="1"/>
    </xf>
    <xf numFmtId="0" fontId="11" fillId="2" borderId="19" xfId="0" applyFont="1" applyFill="1" applyBorder="1" applyAlignment="1" applyProtection="1">
      <alignment horizontal="center" vertical="center" wrapText="1"/>
    </xf>
    <xf numFmtId="0" fontId="11" fillId="2" borderId="19" xfId="0" applyFont="1" applyFill="1" applyBorder="1" applyAlignment="1" applyProtection="1">
      <alignment horizontal="center" vertical="center" wrapText="1"/>
      <protection locked="0"/>
    </xf>
    <xf numFmtId="49" fontId="11" fillId="2" borderId="20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21" xfId="0" applyNumberFormat="1" applyFont="1" applyFill="1" applyBorder="1" applyAlignment="1" applyProtection="1">
      <alignment horizontal="center" vertical="center"/>
    </xf>
    <xf numFmtId="43" fontId="11" fillId="0" borderId="21" xfId="8" applyFont="1" applyFill="1" applyBorder="1" applyAlignment="1" applyProtection="1">
      <alignment horizontal="right" vertical="center"/>
    </xf>
    <xf numFmtId="43" fontId="11" fillId="2" borderId="21" xfId="8" applyFont="1" applyFill="1" applyBorder="1" applyAlignment="1" applyProtection="1">
      <alignment horizontal="right" vertical="center" wrapText="1"/>
      <protection locked="0"/>
    </xf>
    <xf numFmtId="43" fontId="11" fillId="0" borderId="22" xfId="8" applyFont="1" applyFill="1" applyBorder="1" applyAlignment="1" applyProtection="1">
      <alignment horizontal="right" vertical="center"/>
    </xf>
    <xf numFmtId="43" fontId="11" fillId="0" borderId="21" xfId="8" applyFont="1" applyBorder="1" applyAlignment="1">
      <alignment horizontal="right" vertical="center"/>
    </xf>
    <xf numFmtId="49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1" fillId="0" borderId="0" xfId="0" applyNumberFormat="1" applyFont="1" applyFill="1" applyBorder="1" applyAlignment="1" applyProtection="1">
      <alignment horizontal="left" vertical="center" wrapText="1"/>
    </xf>
    <xf numFmtId="43" fontId="11" fillId="2" borderId="5" xfId="8" applyFont="1" applyFill="1" applyBorder="1" applyAlignment="1" applyProtection="1">
      <alignment horizontal="righ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49" fontId="11" fillId="2" borderId="7" xfId="0" applyNumberFormat="1" applyFont="1" applyFill="1" applyBorder="1" applyAlignment="1" applyProtection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left" vertical="center" wrapText="1"/>
    </xf>
    <xf numFmtId="41" fontId="11" fillId="0" borderId="1" xfId="0" applyNumberFormat="1" applyFont="1" applyFill="1" applyBorder="1" applyAlignment="1" applyProtection="1">
      <alignment horizontal="center" vertical="center"/>
    </xf>
    <xf numFmtId="43" fontId="11" fillId="0" borderId="1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  <protection locked="0"/>
    </xf>
    <xf numFmtId="43" fontId="11" fillId="0" borderId="3" xfId="8" applyFont="1" applyFill="1" applyBorder="1" applyAlignment="1" applyProtection="1">
      <alignment horizontal="right" vertical="center"/>
    </xf>
    <xf numFmtId="43" fontId="9" fillId="0" borderId="1" xfId="8" applyFont="1" applyBorder="1" applyAlignment="1">
      <alignment horizontal="right" vertical="center"/>
    </xf>
    <xf numFmtId="2" fontId="11" fillId="0" borderId="21" xfId="0" applyNumberFormat="1" applyFont="1" applyFill="1" applyBorder="1" applyAlignment="1" applyProtection="1">
      <alignment horizontal="left" vertical="center" wrapText="1"/>
    </xf>
    <xf numFmtId="43" fontId="12" fillId="2" borderId="21" xfId="8" applyFont="1" applyFill="1" applyBorder="1" applyAlignment="1" applyProtection="1">
      <alignment horizontal="right" vertical="center" wrapText="1"/>
      <protection locked="0"/>
    </xf>
    <xf numFmtId="49" fontId="1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5" xfId="0" applyNumberFormat="1" applyFont="1" applyFill="1" applyBorder="1" applyAlignment="1" applyProtection="1">
      <alignment horizontal="left" vertical="center" wrapText="1"/>
    </xf>
    <xf numFmtId="2" fontId="11" fillId="0" borderId="5" xfId="0" applyNumberFormat="1" applyFont="1" applyFill="1" applyBorder="1" applyAlignment="1" applyProtection="1">
      <alignment horizontal="left" vertical="center" wrapText="1"/>
    </xf>
    <xf numFmtId="49" fontId="11" fillId="2" borderId="17" xfId="0" applyNumberFormat="1" applyFont="1" applyFill="1" applyBorder="1" applyAlignment="1" applyProtection="1">
      <alignment horizontal="center" vertical="center" wrapText="1"/>
    </xf>
    <xf numFmtId="0" fontId="11" fillId="0" borderId="19" xfId="0" applyNumberFormat="1" applyFont="1" applyFill="1" applyBorder="1" applyAlignment="1" applyProtection="1">
      <alignment horizontal="left" vertical="center" wrapText="1"/>
    </xf>
    <xf numFmtId="41" fontId="11" fillId="0" borderId="19" xfId="0" applyNumberFormat="1" applyFont="1" applyFill="1" applyBorder="1" applyAlignment="1" applyProtection="1">
      <alignment horizontal="center" vertical="center"/>
    </xf>
    <xf numFmtId="43" fontId="11" fillId="0" borderId="19" xfId="8" applyFont="1" applyFill="1" applyBorder="1" applyAlignment="1" applyProtection="1">
      <alignment horizontal="right" vertical="center"/>
    </xf>
    <xf numFmtId="43" fontId="11" fillId="2" borderId="1" xfId="8" applyFont="1" applyFill="1" applyBorder="1" applyAlignment="1" applyProtection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3" fontId="12" fillId="2" borderId="0" xfId="8" applyFont="1" applyFill="1" applyBorder="1" applyAlignment="1">
      <alignment horizontal="center" vertical="center"/>
    </xf>
    <xf numFmtId="43" fontId="11" fillId="0" borderId="0" xfId="8" applyFont="1" applyFill="1" applyBorder="1" applyAlignment="1">
      <alignment horizontal="center" vertical="center"/>
    </xf>
    <xf numFmtId="43" fontId="12" fillId="0" borderId="0" xfId="8" applyNumberFormat="1" applyFont="1" applyFill="1" applyBorder="1" applyAlignment="1">
      <alignment horizontal="left" vertical="center"/>
    </xf>
    <xf numFmtId="0" fontId="11" fillId="2" borderId="2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2" xfId="0" applyNumberFormat="1" applyFont="1" applyFill="1" applyBorder="1" applyAlignment="1" applyProtection="1">
      <alignment horizontal="left" vertical="center" wrapText="1"/>
    </xf>
    <xf numFmtId="49" fontId="11" fillId="2" borderId="17" xfId="0" applyNumberFormat="1" applyFont="1" applyFill="1" applyBorder="1" applyAlignment="1" applyProtection="1">
      <alignment horizontal="center" vertical="center" wrapText="1"/>
      <protection locked="0"/>
    </xf>
    <xf numFmtId="43" fontId="11" fillId="2" borderId="19" xfId="8" applyFont="1" applyFill="1" applyBorder="1" applyAlignment="1" applyProtection="1">
      <alignment horizontal="right" vertical="center" wrapText="1"/>
      <protection locked="0"/>
    </xf>
    <xf numFmtId="43" fontId="11" fillId="0" borderId="23" xfId="8" applyFont="1" applyFill="1" applyBorder="1" applyAlignment="1" applyProtection="1">
      <alignment horizontal="right" vertical="center"/>
    </xf>
    <xf numFmtId="43" fontId="11" fillId="0" borderId="19" xfId="8" applyFont="1" applyBorder="1" applyAlignment="1">
      <alignment horizontal="right" vertical="center"/>
    </xf>
    <xf numFmtId="43" fontId="12" fillId="0" borderId="0" xfId="8" applyFont="1" applyFill="1" applyBorder="1" applyAlignment="1">
      <alignment horizontal="right" vertical="center"/>
    </xf>
    <xf numFmtId="0" fontId="11" fillId="2" borderId="0" xfId="0" applyFont="1" applyFill="1" applyBorder="1" applyAlignment="1" applyProtection="1">
      <alignment horizontal="center" vertical="center" wrapText="1"/>
    </xf>
    <xf numFmtId="43" fontId="12" fillId="2" borderId="0" xfId="8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workbookViewId="0">
      <selection activeCell="B11" sqref="B11"/>
    </sheetView>
  </sheetViews>
  <sheetFormatPr defaultRowHeight="15" x14ac:dyDescent="0.25"/>
  <cols>
    <col min="1" max="1" width="5.42578125" customWidth="1"/>
    <col min="2" max="2" width="10.5703125" customWidth="1"/>
    <col min="3" max="3" width="11" customWidth="1"/>
    <col min="4" max="4" width="44.28515625" customWidth="1"/>
    <col min="5" max="5" width="6" customWidth="1"/>
    <col min="6" max="6" width="9.85546875" customWidth="1"/>
    <col min="7" max="7" width="10.28515625" customWidth="1"/>
    <col min="8" max="8" width="11.5703125" customWidth="1"/>
    <col min="9" max="9" width="12" customWidth="1"/>
    <col min="10" max="10" width="9.5703125" bestFit="1" customWidth="1"/>
    <col min="11" max="11" width="8.5703125" customWidth="1"/>
  </cols>
  <sheetData>
    <row r="1" spans="1:13" s="5" customFormat="1" ht="43.5" customHeight="1" x14ac:dyDescent="0.25">
      <c r="A1" s="107" t="s">
        <v>57</v>
      </c>
      <c r="B1" s="108"/>
      <c r="C1" s="108"/>
      <c r="D1" s="108"/>
      <c r="E1" s="108"/>
      <c r="F1" s="108"/>
      <c r="G1" s="108"/>
      <c r="H1" s="108"/>
      <c r="I1" s="108"/>
    </row>
    <row r="2" spans="1:13" s="5" customFormat="1" x14ac:dyDescent="0.25">
      <c r="A2" s="112" t="s">
        <v>15</v>
      </c>
      <c r="B2" s="112"/>
      <c r="C2" s="112"/>
      <c r="D2" s="112"/>
      <c r="E2" s="112"/>
      <c r="F2" s="112"/>
      <c r="G2" s="112"/>
      <c r="H2" s="112"/>
      <c r="I2" s="112"/>
    </row>
    <row r="3" spans="1:13" s="5" customFormat="1" x14ac:dyDescent="0.25">
      <c r="A3" s="114" t="s">
        <v>50</v>
      </c>
      <c r="B3" s="115"/>
      <c r="C3" s="115"/>
      <c r="D3" s="115"/>
      <c r="E3" s="115"/>
      <c r="F3" s="115"/>
      <c r="G3" s="115"/>
      <c r="H3" s="115"/>
      <c r="I3" s="116"/>
    </row>
    <row r="4" spans="1:13" s="5" customFormat="1" x14ac:dyDescent="0.25">
      <c r="A4" s="113" t="s">
        <v>210</v>
      </c>
      <c r="B4" s="113"/>
      <c r="C4" s="113"/>
      <c r="D4" s="113"/>
      <c r="E4" s="113"/>
      <c r="F4" s="113"/>
      <c r="G4" s="113"/>
      <c r="H4" s="113"/>
      <c r="I4" s="113"/>
    </row>
    <row r="5" spans="1:13" s="5" customFormat="1" x14ac:dyDescent="0.25">
      <c r="A5" s="113" t="s">
        <v>51</v>
      </c>
      <c r="B5" s="113"/>
      <c r="C5" s="113"/>
      <c r="D5" s="113"/>
      <c r="E5" s="113"/>
      <c r="F5" s="113"/>
      <c r="G5" s="113"/>
      <c r="H5" s="113"/>
      <c r="I5" s="113"/>
    </row>
    <row r="6" spans="1:13" s="5" customFormat="1" x14ac:dyDescent="0.25">
      <c r="A6" s="109" t="s">
        <v>114</v>
      </c>
      <c r="B6" s="109"/>
      <c r="C6" s="109"/>
      <c r="D6" s="109"/>
      <c r="E6" s="109"/>
      <c r="F6" s="109"/>
      <c r="G6" s="109"/>
      <c r="H6" s="109"/>
      <c r="I6" s="110"/>
    </row>
    <row r="7" spans="1:13" s="5" customFormat="1" x14ac:dyDescent="0.25">
      <c r="A7" s="109" t="s">
        <v>58</v>
      </c>
      <c r="B7" s="109"/>
      <c r="C7" s="109"/>
      <c r="D7" s="109"/>
      <c r="E7" s="109"/>
      <c r="F7" s="109"/>
      <c r="G7" s="109"/>
      <c r="H7" s="109"/>
      <c r="I7" s="110"/>
      <c r="J7" s="47"/>
    </row>
    <row r="8" spans="1:13" s="5" customFormat="1" x14ac:dyDescent="0.25">
      <c r="A8" s="109" t="s">
        <v>61</v>
      </c>
      <c r="B8" s="109"/>
      <c r="C8" s="109"/>
      <c r="D8" s="109"/>
      <c r="E8" s="109"/>
      <c r="F8" s="109"/>
      <c r="G8" s="110"/>
      <c r="H8" s="14" t="s">
        <v>13</v>
      </c>
      <c r="I8" s="15">
        <v>0.28000000000000003</v>
      </c>
      <c r="J8" s="47"/>
    </row>
    <row r="9" spans="1:13" s="1" customFormat="1" ht="38.25" x14ac:dyDescent="0.25">
      <c r="A9" s="16" t="s">
        <v>4</v>
      </c>
      <c r="B9" s="16" t="s">
        <v>5</v>
      </c>
      <c r="C9" s="16" t="s">
        <v>12</v>
      </c>
      <c r="D9" s="16" t="s">
        <v>6</v>
      </c>
      <c r="E9" s="16" t="s">
        <v>7</v>
      </c>
      <c r="F9" s="16" t="s">
        <v>8</v>
      </c>
      <c r="G9" s="17" t="s">
        <v>9</v>
      </c>
      <c r="H9" s="17" t="s">
        <v>10</v>
      </c>
      <c r="I9" s="17" t="s">
        <v>11</v>
      </c>
      <c r="J9" s="48"/>
    </row>
    <row r="10" spans="1:13" x14ac:dyDescent="0.25">
      <c r="A10" s="18"/>
      <c r="B10" s="19"/>
      <c r="C10" s="19"/>
      <c r="D10" s="20"/>
      <c r="E10" s="21"/>
      <c r="F10" s="22"/>
      <c r="G10" s="23"/>
      <c r="H10" s="23"/>
      <c r="I10" s="24"/>
      <c r="J10" s="47"/>
    </row>
    <row r="11" spans="1:13" x14ac:dyDescent="0.25">
      <c r="A11" s="73" t="s">
        <v>16</v>
      </c>
      <c r="B11" s="74"/>
      <c r="C11" s="75"/>
      <c r="D11" s="76" t="s">
        <v>35</v>
      </c>
      <c r="E11" s="77" t="s">
        <v>0</v>
      </c>
      <c r="F11" s="78"/>
      <c r="G11" s="91"/>
      <c r="H11" s="80"/>
      <c r="I11" s="81">
        <f>SUM(I12:I13)</f>
        <v>6797.16</v>
      </c>
      <c r="J11" s="48"/>
      <c r="K11" s="2"/>
    </row>
    <row r="12" spans="1:13" s="5" customFormat="1" ht="90" customHeight="1" x14ac:dyDescent="0.25">
      <c r="A12" s="25" t="s">
        <v>1</v>
      </c>
      <c r="B12" s="25" t="s">
        <v>27</v>
      </c>
      <c r="C12" s="26" t="s">
        <v>47</v>
      </c>
      <c r="D12" s="31" t="s">
        <v>46</v>
      </c>
      <c r="E12" s="27" t="s">
        <v>7</v>
      </c>
      <c r="F12" s="28">
        <v>1</v>
      </c>
      <c r="G12" s="45">
        <v>1429.69</v>
      </c>
      <c r="H12" s="29">
        <f t="shared" ref="H12:H79" si="0">ROUND(G12+(G12*$I$8),2)</f>
        <v>1830</v>
      </c>
      <c r="I12" s="46">
        <f t="shared" ref="I12:I79" si="1">F12*H12</f>
        <v>1830</v>
      </c>
      <c r="J12" s="48"/>
      <c r="K12" s="6"/>
    </row>
    <row r="13" spans="1:13" s="5" customFormat="1" ht="63.75" x14ac:dyDescent="0.25">
      <c r="A13" s="62" t="s">
        <v>62</v>
      </c>
      <c r="B13" s="62" t="s">
        <v>27</v>
      </c>
      <c r="C13" s="87" t="s">
        <v>64</v>
      </c>
      <c r="D13" s="88" t="s">
        <v>63</v>
      </c>
      <c r="E13" s="89" t="s">
        <v>26</v>
      </c>
      <c r="F13" s="90">
        <v>78.099999999999994</v>
      </c>
      <c r="G13" s="83">
        <v>49.69</v>
      </c>
      <c r="H13" s="68">
        <f t="shared" ref="H13" si="2">ROUND(G13+(G13*$I$8),2)</f>
        <v>63.6</v>
      </c>
      <c r="I13" s="69">
        <f t="shared" ref="I13" si="3">F13*H13</f>
        <v>4967.16</v>
      </c>
      <c r="J13" s="92">
        <f>(11.5*2)+(15.7*2)+(4*2+15.7)</f>
        <v>78.099999999999994</v>
      </c>
      <c r="K13" s="6"/>
    </row>
    <row r="14" spans="1:13" s="5" customFormat="1" x14ac:dyDescent="0.25">
      <c r="A14" s="73" t="s">
        <v>36</v>
      </c>
      <c r="B14" s="74"/>
      <c r="C14" s="75"/>
      <c r="D14" s="76" t="s">
        <v>66</v>
      </c>
      <c r="E14" s="77" t="s">
        <v>0</v>
      </c>
      <c r="F14" s="78"/>
      <c r="G14" s="91"/>
      <c r="H14" s="80"/>
      <c r="I14" s="81">
        <f>SUM(I15:I19)</f>
        <v>62718.131399999991</v>
      </c>
      <c r="J14" s="49"/>
      <c r="K14" s="12"/>
      <c r="L14" s="12"/>
    </row>
    <row r="15" spans="1:13" ht="31.5" customHeight="1" x14ac:dyDescent="0.25">
      <c r="A15" s="25" t="s">
        <v>37</v>
      </c>
      <c r="B15" s="35" t="s">
        <v>2</v>
      </c>
      <c r="C15" s="84" t="s">
        <v>18</v>
      </c>
      <c r="D15" s="86" t="s">
        <v>19</v>
      </c>
      <c r="E15" s="27" t="s">
        <v>17</v>
      </c>
      <c r="F15" s="28">
        <v>19.22</v>
      </c>
      <c r="G15" s="72">
        <v>70.290000000000006</v>
      </c>
      <c r="H15" s="29">
        <f t="shared" si="0"/>
        <v>89.97</v>
      </c>
      <c r="I15" s="46">
        <f t="shared" si="1"/>
        <v>1729.2233999999999</v>
      </c>
      <c r="J15" s="93">
        <f>5.02+4.6+9.6</f>
        <v>19.22</v>
      </c>
      <c r="K15" s="10"/>
      <c r="L15" s="10"/>
      <c r="M15" s="10"/>
    </row>
    <row r="16" spans="1:13" s="5" customFormat="1" ht="42.75" customHeight="1" x14ac:dyDescent="0.25">
      <c r="A16" s="25" t="s">
        <v>38</v>
      </c>
      <c r="B16" s="35" t="s">
        <v>2</v>
      </c>
      <c r="C16" s="36" t="s">
        <v>28</v>
      </c>
      <c r="D16" s="37" t="s">
        <v>65</v>
      </c>
      <c r="E16" s="38" t="s">
        <v>26</v>
      </c>
      <c r="F16" s="39">
        <v>120</v>
      </c>
      <c r="G16" s="44">
        <v>55.78</v>
      </c>
      <c r="H16" s="33">
        <f>ROUND(G16+(G16*$I$8),2)</f>
        <v>71.400000000000006</v>
      </c>
      <c r="I16" s="34">
        <f t="shared" si="1"/>
        <v>8568</v>
      </c>
      <c r="J16" s="93">
        <f>20*6</f>
        <v>120</v>
      </c>
      <c r="K16" s="3"/>
    </row>
    <row r="17" spans="1:12" s="5" customFormat="1" ht="42" customHeight="1" x14ac:dyDescent="0.25">
      <c r="A17" s="25" t="s">
        <v>39</v>
      </c>
      <c r="B17" s="35" t="s">
        <v>2</v>
      </c>
      <c r="C17" s="36" t="s">
        <v>48</v>
      </c>
      <c r="D17" s="37" t="s">
        <v>49</v>
      </c>
      <c r="E17" s="38" t="s">
        <v>3</v>
      </c>
      <c r="F17" s="39">
        <v>96.24</v>
      </c>
      <c r="G17" s="32">
        <v>91.66</v>
      </c>
      <c r="H17" s="33">
        <f>ROUND(G17+(G17*$I$8),2)</f>
        <v>117.32</v>
      </c>
      <c r="I17" s="34">
        <f t="shared" si="1"/>
        <v>11290.876799999998</v>
      </c>
      <c r="J17" s="93">
        <f>50.24+46</f>
        <v>96.240000000000009</v>
      </c>
      <c r="K17" s="3"/>
    </row>
    <row r="18" spans="1:12" s="5" customFormat="1" ht="42" customHeight="1" x14ac:dyDescent="0.25">
      <c r="A18" s="25" t="s">
        <v>40</v>
      </c>
      <c r="B18" s="35" t="s">
        <v>2</v>
      </c>
      <c r="C18" s="36" t="s">
        <v>42</v>
      </c>
      <c r="D18" s="37" t="s">
        <v>43</v>
      </c>
      <c r="E18" s="38" t="s">
        <v>29</v>
      </c>
      <c r="F18" s="39">
        <v>1922</v>
      </c>
      <c r="G18" s="32">
        <v>10.88</v>
      </c>
      <c r="H18" s="33">
        <f t="shared" ref="H18" si="4">ROUND(G18+(G18*$I$8),2)</f>
        <v>13.93</v>
      </c>
      <c r="I18" s="34">
        <f t="shared" si="1"/>
        <v>26773.46</v>
      </c>
      <c r="J18" s="94">
        <f>1922</f>
        <v>1922</v>
      </c>
      <c r="K18" s="3"/>
    </row>
    <row r="19" spans="1:12" s="5" customFormat="1" ht="45.75" customHeight="1" x14ac:dyDescent="0.25">
      <c r="A19" s="62" t="s">
        <v>41</v>
      </c>
      <c r="B19" s="63" t="s">
        <v>2</v>
      </c>
      <c r="C19" s="64" t="s">
        <v>20</v>
      </c>
      <c r="D19" s="82" t="s">
        <v>44</v>
      </c>
      <c r="E19" s="65" t="s">
        <v>17</v>
      </c>
      <c r="F19" s="66">
        <v>19.22</v>
      </c>
      <c r="G19" s="67">
        <v>583.55999999999995</v>
      </c>
      <c r="H19" s="68">
        <f t="shared" si="0"/>
        <v>746.96</v>
      </c>
      <c r="I19" s="69">
        <f t="shared" si="1"/>
        <v>14356.5712</v>
      </c>
      <c r="J19" s="94" t="s">
        <v>67</v>
      </c>
      <c r="K19" s="3"/>
      <c r="L19" s="11"/>
    </row>
    <row r="20" spans="1:12" s="5" customFormat="1" ht="15" customHeight="1" x14ac:dyDescent="0.25">
      <c r="A20" s="73" t="s">
        <v>68</v>
      </c>
      <c r="B20" s="74"/>
      <c r="C20" s="75"/>
      <c r="D20" s="76" t="s">
        <v>72</v>
      </c>
      <c r="E20" s="77"/>
      <c r="F20" s="78"/>
      <c r="G20" s="79"/>
      <c r="H20" s="80"/>
      <c r="I20" s="81">
        <f>SUM(I21:I23)</f>
        <v>45845.471999999994</v>
      </c>
      <c r="J20" s="50"/>
      <c r="K20" s="3"/>
      <c r="L20" s="11"/>
    </row>
    <row r="21" spans="1:12" s="5" customFormat="1" ht="42" customHeight="1" x14ac:dyDescent="0.25">
      <c r="A21" s="25" t="s">
        <v>69</v>
      </c>
      <c r="B21" s="35" t="s">
        <v>2</v>
      </c>
      <c r="C21" s="84" t="s">
        <v>48</v>
      </c>
      <c r="D21" s="86" t="s">
        <v>49</v>
      </c>
      <c r="E21" s="27" t="s">
        <v>3</v>
      </c>
      <c r="F21" s="28">
        <v>150</v>
      </c>
      <c r="G21" s="72">
        <v>91.66</v>
      </c>
      <c r="H21" s="29">
        <f>ROUND(G21+(G21*$I$8),2)</f>
        <v>117.32</v>
      </c>
      <c r="I21" s="46">
        <f t="shared" ref="I21:I23" si="5">F21*H21</f>
        <v>17598</v>
      </c>
      <c r="J21" s="93">
        <f>30+120</f>
        <v>150</v>
      </c>
      <c r="K21" s="3"/>
    </row>
    <row r="22" spans="1:12" s="5" customFormat="1" ht="42" customHeight="1" x14ac:dyDescent="0.25">
      <c r="A22" s="25" t="s">
        <v>70</v>
      </c>
      <c r="B22" s="35" t="s">
        <v>2</v>
      </c>
      <c r="C22" s="36" t="s">
        <v>42</v>
      </c>
      <c r="D22" s="37" t="s">
        <v>43</v>
      </c>
      <c r="E22" s="38" t="s">
        <v>29</v>
      </c>
      <c r="F22" s="39">
        <v>1320</v>
      </c>
      <c r="G22" s="32">
        <v>10.88</v>
      </c>
      <c r="H22" s="33">
        <f t="shared" ref="H22:H23" si="6">ROUND(G22+(G22*$I$8),2)</f>
        <v>13.93</v>
      </c>
      <c r="I22" s="34">
        <f t="shared" si="5"/>
        <v>18387.599999999999</v>
      </c>
      <c r="J22" s="94">
        <f>360+960</f>
        <v>1320</v>
      </c>
      <c r="K22" s="3"/>
    </row>
    <row r="23" spans="1:12" s="5" customFormat="1" ht="45.75" customHeight="1" x14ac:dyDescent="0.25">
      <c r="A23" s="62" t="s">
        <v>71</v>
      </c>
      <c r="B23" s="63" t="s">
        <v>2</v>
      </c>
      <c r="C23" s="64" t="s">
        <v>20</v>
      </c>
      <c r="D23" s="82" t="s">
        <v>44</v>
      </c>
      <c r="E23" s="65" t="s">
        <v>17</v>
      </c>
      <c r="F23" s="66">
        <v>13.2</v>
      </c>
      <c r="G23" s="67">
        <v>583.55999999999995</v>
      </c>
      <c r="H23" s="68">
        <f t="shared" si="6"/>
        <v>746.96</v>
      </c>
      <c r="I23" s="69">
        <f t="shared" si="5"/>
        <v>9859.8719999999994</v>
      </c>
      <c r="J23" s="94">
        <f>3.6+9.6</f>
        <v>13.2</v>
      </c>
      <c r="K23" s="3"/>
      <c r="L23" s="11"/>
    </row>
    <row r="24" spans="1:12" s="5" customFormat="1" ht="15" customHeight="1" x14ac:dyDescent="0.25">
      <c r="A24" s="73" t="s">
        <v>73</v>
      </c>
      <c r="B24" s="74"/>
      <c r="C24" s="75"/>
      <c r="D24" s="76" t="s">
        <v>74</v>
      </c>
      <c r="E24" s="77"/>
      <c r="F24" s="78"/>
      <c r="G24" s="79"/>
      <c r="H24" s="80"/>
      <c r="I24" s="81">
        <f>SUM(I25:I26)</f>
        <v>64172.830500000011</v>
      </c>
      <c r="J24" s="50"/>
      <c r="K24" s="3"/>
      <c r="L24" s="11"/>
    </row>
    <row r="25" spans="1:12" s="5" customFormat="1" ht="58.5" customHeight="1" x14ac:dyDescent="0.25">
      <c r="A25" s="25" t="s">
        <v>79</v>
      </c>
      <c r="B25" s="35" t="s">
        <v>2</v>
      </c>
      <c r="C25" s="84" t="s">
        <v>76</v>
      </c>
      <c r="D25" s="86" t="s">
        <v>75</v>
      </c>
      <c r="E25" s="27" t="s">
        <v>3</v>
      </c>
      <c r="F25" s="28">
        <v>180.55</v>
      </c>
      <c r="G25" s="72">
        <v>231.96</v>
      </c>
      <c r="H25" s="29">
        <f t="shared" ref="H25" si="7">ROUND(G25+(G25*$I$8),2)</f>
        <v>296.91000000000003</v>
      </c>
      <c r="I25" s="46">
        <f t="shared" ref="I25" si="8">F25*H25</f>
        <v>53607.100500000008</v>
      </c>
      <c r="J25" s="50">
        <f>11.5*15.7</f>
        <v>180.54999999999998</v>
      </c>
      <c r="K25" s="3"/>
      <c r="L25" s="11"/>
    </row>
    <row r="26" spans="1:12" s="5" customFormat="1" ht="35.25" customHeight="1" x14ac:dyDescent="0.25">
      <c r="A26" s="62" t="s">
        <v>80</v>
      </c>
      <c r="B26" s="63" t="s">
        <v>2</v>
      </c>
      <c r="C26" s="64" t="s">
        <v>78</v>
      </c>
      <c r="D26" s="82" t="s">
        <v>77</v>
      </c>
      <c r="E26" s="65" t="s">
        <v>26</v>
      </c>
      <c r="F26" s="66">
        <v>541</v>
      </c>
      <c r="G26" s="83">
        <v>15.26</v>
      </c>
      <c r="H26" s="68">
        <f>ROUND(G26+(G26*$I$8),2)</f>
        <v>19.53</v>
      </c>
      <c r="I26" s="69">
        <f t="shared" ref="I26" si="9">F26*H26</f>
        <v>10565.730000000001</v>
      </c>
      <c r="J26" s="95">
        <f>180.55*3</f>
        <v>541.65000000000009</v>
      </c>
      <c r="K26" s="3"/>
    </row>
    <row r="27" spans="1:12" s="5" customFormat="1" ht="15" customHeight="1" x14ac:dyDescent="0.25">
      <c r="A27" s="73" t="s">
        <v>81</v>
      </c>
      <c r="B27" s="74"/>
      <c r="C27" s="75"/>
      <c r="D27" s="76" t="s">
        <v>82</v>
      </c>
      <c r="E27" s="77"/>
      <c r="F27" s="78"/>
      <c r="G27" s="79"/>
      <c r="H27" s="80"/>
      <c r="I27" s="81">
        <f>SUM(I28:I31)</f>
        <v>15833.671999999999</v>
      </c>
      <c r="J27" s="50"/>
      <c r="K27" s="3"/>
      <c r="L27" s="11"/>
    </row>
    <row r="28" spans="1:12" s="5" customFormat="1" ht="57" customHeight="1" x14ac:dyDescent="0.25">
      <c r="A28" s="25" t="s">
        <v>83</v>
      </c>
      <c r="B28" s="35" t="s">
        <v>2</v>
      </c>
      <c r="C28" s="84" t="s">
        <v>53</v>
      </c>
      <c r="D28" s="85" t="s">
        <v>54</v>
      </c>
      <c r="E28" s="27" t="s">
        <v>3</v>
      </c>
      <c r="F28" s="28">
        <v>47.1</v>
      </c>
      <c r="G28" s="72">
        <v>103.61</v>
      </c>
      <c r="H28" s="29">
        <f t="shared" ref="H28" si="10">ROUND(G28+(G28*$I$8),2)</f>
        <v>132.62</v>
      </c>
      <c r="I28" s="46">
        <f t="shared" ref="I28" si="11">F28*H28</f>
        <v>6246.402</v>
      </c>
      <c r="J28" s="50">
        <f>15.7*3</f>
        <v>47.099999999999994</v>
      </c>
      <c r="K28" s="3"/>
    </row>
    <row r="29" spans="1:12" s="5" customFormat="1" ht="30.75" customHeight="1" x14ac:dyDescent="0.25">
      <c r="A29" s="25" t="s">
        <v>84</v>
      </c>
      <c r="B29" s="35" t="s">
        <v>2</v>
      </c>
      <c r="C29" s="36" t="s">
        <v>24</v>
      </c>
      <c r="D29" s="37" t="s">
        <v>25</v>
      </c>
      <c r="E29" s="38" t="s">
        <v>26</v>
      </c>
      <c r="F29" s="39">
        <v>31.4</v>
      </c>
      <c r="G29" s="44">
        <v>36.24</v>
      </c>
      <c r="H29" s="33">
        <f>ROUND(G29+(G29*$I$8),2)</f>
        <v>46.39</v>
      </c>
      <c r="I29" s="34">
        <f t="shared" si="1"/>
        <v>1456.646</v>
      </c>
      <c r="J29" s="51">
        <f>2*15.7</f>
        <v>31.4</v>
      </c>
      <c r="K29" s="3"/>
    </row>
    <row r="30" spans="1:12" s="5" customFormat="1" ht="53.25" customHeight="1" x14ac:dyDescent="0.25">
      <c r="A30" s="25" t="s">
        <v>85</v>
      </c>
      <c r="B30" s="35" t="s">
        <v>2</v>
      </c>
      <c r="C30" s="36" t="s">
        <v>30</v>
      </c>
      <c r="D30" s="37" t="s">
        <v>45</v>
      </c>
      <c r="E30" s="38" t="s">
        <v>3</v>
      </c>
      <c r="F30" s="39">
        <v>163.19999999999999</v>
      </c>
      <c r="G30" s="32">
        <v>4.0199999999999996</v>
      </c>
      <c r="H30" s="33">
        <f t="shared" ref="H30:H31" si="12">ROUND(G30+(G30*$I$8),2)</f>
        <v>5.15</v>
      </c>
      <c r="I30" s="34">
        <f t="shared" ref="I30:I31" si="13">F30*H30</f>
        <v>840.48</v>
      </c>
      <c r="J30" s="50">
        <f>((15.7*2)+(11.5*2))*3</f>
        <v>163.19999999999999</v>
      </c>
      <c r="K30" s="3"/>
    </row>
    <row r="31" spans="1:12" s="5" customFormat="1" ht="69.75" customHeight="1" x14ac:dyDescent="0.25">
      <c r="A31" s="62" t="s">
        <v>86</v>
      </c>
      <c r="B31" s="63" t="s">
        <v>2</v>
      </c>
      <c r="C31" s="64" t="s">
        <v>31</v>
      </c>
      <c r="D31" s="82" t="s">
        <v>32</v>
      </c>
      <c r="E31" s="65" t="s">
        <v>3</v>
      </c>
      <c r="F31" s="66">
        <v>163.19999999999999</v>
      </c>
      <c r="G31" s="67">
        <v>34.9</v>
      </c>
      <c r="H31" s="68">
        <f t="shared" si="12"/>
        <v>44.67</v>
      </c>
      <c r="I31" s="69">
        <f t="shared" si="13"/>
        <v>7290.1439999999993</v>
      </c>
      <c r="J31" s="50">
        <f>((15.7*2)+(11.5*2))*3</f>
        <v>163.19999999999999</v>
      </c>
      <c r="K31" s="3"/>
    </row>
    <row r="32" spans="1:12" s="5" customFormat="1" ht="15" customHeight="1" x14ac:dyDescent="0.25">
      <c r="A32" s="73" t="s">
        <v>87</v>
      </c>
      <c r="B32" s="74"/>
      <c r="C32" s="75"/>
      <c r="D32" s="76" t="s">
        <v>91</v>
      </c>
      <c r="E32" s="77"/>
      <c r="F32" s="78"/>
      <c r="G32" s="79"/>
      <c r="H32" s="80"/>
      <c r="I32" s="81">
        <f>SUM(I33:I35)</f>
        <v>45845.471999999994</v>
      </c>
      <c r="J32" s="50"/>
      <c r="K32" s="3"/>
      <c r="L32" s="11"/>
    </row>
    <row r="33" spans="1:12" s="5" customFormat="1" ht="42" customHeight="1" x14ac:dyDescent="0.25">
      <c r="A33" s="25" t="s">
        <v>88</v>
      </c>
      <c r="B33" s="35" t="s">
        <v>2</v>
      </c>
      <c r="C33" s="84" t="s">
        <v>48</v>
      </c>
      <c r="D33" s="86" t="s">
        <v>49</v>
      </c>
      <c r="E33" s="27" t="s">
        <v>3</v>
      </c>
      <c r="F33" s="28">
        <v>150</v>
      </c>
      <c r="G33" s="72">
        <v>91.66</v>
      </c>
      <c r="H33" s="29">
        <f>ROUND(G33+(G33*$I$8),2)</f>
        <v>117.32</v>
      </c>
      <c r="I33" s="46">
        <f t="shared" ref="I33:I35" si="14">F33*H33</f>
        <v>17598</v>
      </c>
      <c r="J33" s="106">
        <f>30+120</f>
        <v>150</v>
      </c>
      <c r="K33" s="3"/>
    </row>
    <row r="34" spans="1:12" s="5" customFormat="1" ht="42" customHeight="1" x14ac:dyDescent="0.25">
      <c r="A34" s="25" t="s">
        <v>89</v>
      </c>
      <c r="B34" s="35" t="s">
        <v>2</v>
      </c>
      <c r="C34" s="36" t="s">
        <v>42</v>
      </c>
      <c r="D34" s="37" t="s">
        <v>43</v>
      </c>
      <c r="E34" s="38" t="s">
        <v>29</v>
      </c>
      <c r="F34" s="39">
        <v>1320</v>
      </c>
      <c r="G34" s="32">
        <v>10.88</v>
      </c>
      <c r="H34" s="33">
        <f t="shared" ref="H34:H35" si="15">ROUND(G34+(G34*$I$8),2)</f>
        <v>13.93</v>
      </c>
      <c r="I34" s="34">
        <f t="shared" si="14"/>
        <v>18387.599999999999</v>
      </c>
      <c r="J34" s="104">
        <f>360+960</f>
        <v>1320</v>
      </c>
      <c r="K34" s="3"/>
    </row>
    <row r="35" spans="1:12" s="5" customFormat="1" ht="45.75" customHeight="1" x14ac:dyDescent="0.25">
      <c r="A35" s="62" t="s">
        <v>90</v>
      </c>
      <c r="B35" s="63" t="s">
        <v>2</v>
      </c>
      <c r="C35" s="64" t="s">
        <v>20</v>
      </c>
      <c r="D35" s="82" t="s">
        <v>44</v>
      </c>
      <c r="E35" s="65" t="s">
        <v>17</v>
      </c>
      <c r="F35" s="66">
        <v>13.2</v>
      </c>
      <c r="G35" s="67">
        <v>583.55999999999995</v>
      </c>
      <c r="H35" s="68">
        <f t="shared" si="15"/>
        <v>746.96</v>
      </c>
      <c r="I35" s="69">
        <f t="shared" si="14"/>
        <v>9859.8719999999994</v>
      </c>
      <c r="J35" s="104">
        <f>3.6+9.6</f>
        <v>13.2</v>
      </c>
      <c r="K35" s="3"/>
      <c r="L35" s="11"/>
    </row>
    <row r="36" spans="1:12" s="5" customFormat="1" ht="15" customHeight="1" x14ac:dyDescent="0.25">
      <c r="A36" s="73" t="s">
        <v>92</v>
      </c>
      <c r="B36" s="74"/>
      <c r="C36" s="75"/>
      <c r="D36" s="76" t="s">
        <v>211</v>
      </c>
      <c r="E36" s="77"/>
      <c r="F36" s="78"/>
      <c r="G36" s="79"/>
      <c r="H36" s="80"/>
      <c r="I36" s="81">
        <f>SUM(I37:I38)</f>
        <v>77507.904999999999</v>
      </c>
      <c r="J36" s="50"/>
      <c r="K36" s="3"/>
      <c r="L36" s="11"/>
    </row>
    <row r="37" spans="1:12" s="5" customFormat="1" ht="58.5" customHeight="1" x14ac:dyDescent="0.25">
      <c r="A37" s="25" t="s">
        <v>93</v>
      </c>
      <c r="B37" s="35" t="s">
        <v>2</v>
      </c>
      <c r="C37" s="84" t="s">
        <v>95</v>
      </c>
      <c r="D37" s="86" t="s">
        <v>96</v>
      </c>
      <c r="E37" s="27" t="s">
        <v>3</v>
      </c>
      <c r="F37" s="28">
        <v>243.35</v>
      </c>
      <c r="G37" s="72">
        <v>218.36</v>
      </c>
      <c r="H37" s="29">
        <f t="shared" ref="H37" si="16">ROUND(G37+(G37*$I$8),2)</f>
        <v>279.5</v>
      </c>
      <c r="I37" s="46">
        <f t="shared" ref="I37:I38" si="17">F37*H37</f>
        <v>68016.324999999997</v>
      </c>
      <c r="J37" s="105">
        <f>62.8+180.55</f>
        <v>243.35000000000002</v>
      </c>
      <c r="K37" s="3"/>
      <c r="L37" s="11"/>
    </row>
    <row r="38" spans="1:12" s="5" customFormat="1" ht="36" customHeight="1" x14ac:dyDescent="0.25">
      <c r="A38" s="62" t="s">
        <v>94</v>
      </c>
      <c r="B38" s="63" t="s">
        <v>2</v>
      </c>
      <c r="C38" s="64" t="s">
        <v>78</v>
      </c>
      <c r="D38" s="82" t="s">
        <v>77</v>
      </c>
      <c r="E38" s="65" t="s">
        <v>26</v>
      </c>
      <c r="F38" s="66">
        <v>486</v>
      </c>
      <c r="G38" s="83">
        <v>15.26</v>
      </c>
      <c r="H38" s="68">
        <f>ROUND(G38+(G38*$I$8),2)</f>
        <v>19.53</v>
      </c>
      <c r="I38" s="69">
        <f t="shared" si="17"/>
        <v>9491.58</v>
      </c>
      <c r="J38" s="51">
        <f>486</f>
        <v>486</v>
      </c>
      <c r="K38" s="3"/>
    </row>
    <row r="39" spans="1:12" s="5" customFormat="1" ht="15" customHeight="1" x14ac:dyDescent="0.25">
      <c r="A39" s="73" t="s">
        <v>97</v>
      </c>
      <c r="B39" s="74"/>
      <c r="C39" s="75"/>
      <c r="D39" s="76" t="s">
        <v>98</v>
      </c>
      <c r="E39" s="77"/>
      <c r="F39" s="78"/>
      <c r="G39" s="79"/>
      <c r="H39" s="80"/>
      <c r="I39" s="81">
        <f>SUM(I40:I44)</f>
        <v>77717.157000000007</v>
      </c>
      <c r="J39" s="50"/>
      <c r="K39" s="3"/>
      <c r="L39" s="11"/>
    </row>
    <row r="40" spans="1:12" s="5" customFormat="1" ht="57" customHeight="1" x14ac:dyDescent="0.25">
      <c r="A40" s="25" t="s">
        <v>99</v>
      </c>
      <c r="B40" s="35" t="s">
        <v>2</v>
      </c>
      <c r="C40" s="84" t="s">
        <v>59</v>
      </c>
      <c r="D40" s="85" t="s">
        <v>60</v>
      </c>
      <c r="E40" s="27" t="s">
        <v>3</v>
      </c>
      <c r="F40" s="28">
        <v>251.2</v>
      </c>
      <c r="G40" s="72">
        <v>86.11</v>
      </c>
      <c r="H40" s="29">
        <f t="shared" ref="H40:H78" si="18">ROUND(G40+(G40*$I$8),2)</f>
        <v>110.22</v>
      </c>
      <c r="I40" s="46">
        <f t="shared" si="1"/>
        <v>27687.263999999999</v>
      </c>
      <c r="J40" s="104">
        <f>(188.4/3)*4</f>
        <v>251.20000000000002</v>
      </c>
      <c r="K40" s="3"/>
    </row>
    <row r="41" spans="1:12" s="5" customFormat="1" ht="30.75" customHeight="1" x14ac:dyDescent="0.25">
      <c r="A41" s="25" t="s">
        <v>100</v>
      </c>
      <c r="B41" s="35" t="s">
        <v>2</v>
      </c>
      <c r="C41" s="36" t="s">
        <v>24</v>
      </c>
      <c r="D41" s="37" t="s">
        <v>25</v>
      </c>
      <c r="E41" s="38" t="s">
        <v>26</v>
      </c>
      <c r="F41" s="39">
        <v>147.4</v>
      </c>
      <c r="G41" s="44">
        <v>36.24</v>
      </c>
      <c r="H41" s="33">
        <f>ROUND(G41+(G41*$I$8),2)</f>
        <v>46.39</v>
      </c>
      <c r="I41" s="34">
        <f t="shared" ref="I41" si="19">F41*H41</f>
        <v>6837.8860000000004</v>
      </c>
      <c r="J41" s="51">
        <f>147.4</f>
        <v>147.4</v>
      </c>
      <c r="K41" s="3"/>
    </row>
    <row r="42" spans="1:12" s="5" customFormat="1" ht="59.25" customHeight="1" x14ac:dyDescent="0.25">
      <c r="A42" s="25" t="s">
        <v>101</v>
      </c>
      <c r="B42" s="35" t="s">
        <v>2</v>
      </c>
      <c r="C42" s="36" t="s">
        <v>30</v>
      </c>
      <c r="D42" s="37" t="s">
        <v>45</v>
      </c>
      <c r="E42" s="38" t="s">
        <v>3</v>
      </c>
      <c r="F42" s="39">
        <v>502.4</v>
      </c>
      <c r="G42" s="32">
        <v>4.0199999999999996</v>
      </c>
      <c r="H42" s="33">
        <f t="shared" si="18"/>
        <v>5.15</v>
      </c>
      <c r="I42" s="34">
        <f t="shared" si="1"/>
        <v>2587.36</v>
      </c>
      <c r="J42" s="104">
        <f>(376.8/3)*4</f>
        <v>502.40000000000003</v>
      </c>
      <c r="K42" s="3"/>
    </row>
    <row r="43" spans="1:12" s="5" customFormat="1" ht="69.75" customHeight="1" x14ac:dyDescent="0.25">
      <c r="A43" s="25" t="s">
        <v>102</v>
      </c>
      <c r="B43" s="35" t="s">
        <v>2</v>
      </c>
      <c r="C43" s="36" t="s">
        <v>31</v>
      </c>
      <c r="D43" s="37" t="s">
        <v>32</v>
      </c>
      <c r="E43" s="38" t="s">
        <v>3</v>
      </c>
      <c r="F43" s="39">
        <v>502.4</v>
      </c>
      <c r="G43" s="32">
        <v>34.9</v>
      </c>
      <c r="H43" s="33">
        <f t="shared" si="18"/>
        <v>44.67</v>
      </c>
      <c r="I43" s="34">
        <f t="shared" si="1"/>
        <v>22442.207999999999</v>
      </c>
      <c r="J43" s="104">
        <f>(376.8/3)*4</f>
        <v>502.40000000000003</v>
      </c>
      <c r="K43" s="3"/>
    </row>
    <row r="44" spans="1:12" s="5" customFormat="1" ht="43.5" customHeight="1" x14ac:dyDescent="0.25">
      <c r="A44" s="62" t="s">
        <v>103</v>
      </c>
      <c r="B44" s="63" t="s">
        <v>2</v>
      </c>
      <c r="C44" s="64" t="s">
        <v>116</v>
      </c>
      <c r="D44" s="40" t="s">
        <v>115</v>
      </c>
      <c r="E44" s="65" t="s">
        <v>3</v>
      </c>
      <c r="F44" s="66">
        <v>441.05</v>
      </c>
      <c r="G44" s="67">
        <v>32.17</v>
      </c>
      <c r="H44" s="68">
        <f t="shared" ref="H44" si="20">ROUND(G44+(G44*$I$8),2)</f>
        <v>41.18</v>
      </c>
      <c r="I44" s="69">
        <f t="shared" ref="I44" si="21">F44*H44</f>
        <v>18162.439000000002</v>
      </c>
      <c r="J44" s="104">
        <f>243.35+197.7</f>
        <v>441.04999999999995</v>
      </c>
      <c r="K44" s="3" t="s">
        <v>117</v>
      </c>
    </row>
    <row r="45" spans="1:12" s="5" customFormat="1" ht="15" customHeight="1" x14ac:dyDescent="0.25">
      <c r="A45" s="73" t="s">
        <v>104</v>
      </c>
      <c r="B45" s="74"/>
      <c r="C45" s="75"/>
      <c r="D45" s="76" t="s">
        <v>105</v>
      </c>
      <c r="E45" s="77"/>
      <c r="F45" s="78"/>
      <c r="G45" s="79"/>
      <c r="H45" s="80"/>
      <c r="I45" s="81">
        <f>SUM(I46:I49)</f>
        <v>88450.936000000002</v>
      </c>
      <c r="J45" s="52"/>
      <c r="K45" s="3"/>
      <c r="L45" s="11"/>
    </row>
    <row r="46" spans="1:12" s="5" customFormat="1" ht="35.25" customHeight="1" x14ac:dyDescent="0.25">
      <c r="A46" s="25" t="s">
        <v>106</v>
      </c>
      <c r="B46" s="35" t="s">
        <v>2</v>
      </c>
      <c r="C46" s="70" t="s">
        <v>108</v>
      </c>
      <c r="D46" s="71" t="s">
        <v>107</v>
      </c>
      <c r="E46" s="27" t="s">
        <v>3</v>
      </c>
      <c r="F46" s="28">
        <v>423.9</v>
      </c>
      <c r="G46" s="72">
        <v>78.7</v>
      </c>
      <c r="H46" s="29">
        <f t="shared" ref="H46" si="22">ROUND(G46+(G46*$I$8),2)</f>
        <v>100.74</v>
      </c>
      <c r="I46" s="46">
        <f t="shared" ref="I46" si="23">F46*H46</f>
        <v>42703.685999999994</v>
      </c>
      <c r="J46" s="104">
        <f>243.35+180.55</f>
        <v>423.9</v>
      </c>
      <c r="K46" s="3"/>
    </row>
    <row r="47" spans="1:12" s="5" customFormat="1" ht="78" customHeight="1" x14ac:dyDescent="0.25">
      <c r="A47" s="25" t="s">
        <v>111</v>
      </c>
      <c r="B47" s="63" t="s">
        <v>2</v>
      </c>
      <c r="C47" s="100" t="s">
        <v>119</v>
      </c>
      <c r="D47" s="71" t="s">
        <v>118</v>
      </c>
      <c r="E47" s="89" t="s">
        <v>3</v>
      </c>
      <c r="F47" s="28">
        <v>243.35</v>
      </c>
      <c r="G47" s="72">
        <v>46.18</v>
      </c>
      <c r="H47" s="29">
        <f t="shared" ref="H47" si="24">ROUND(G47+(G47*$I$8),2)</f>
        <v>59.11</v>
      </c>
      <c r="I47" s="46">
        <f t="shared" ref="I47" si="25">F47*H47</f>
        <v>14384.4185</v>
      </c>
      <c r="J47" s="104">
        <f>243.35</f>
        <v>243.35</v>
      </c>
      <c r="K47" s="3"/>
    </row>
    <row r="48" spans="1:12" s="5" customFormat="1" ht="58.5" customHeight="1" x14ac:dyDescent="0.25">
      <c r="A48" s="25" t="s">
        <v>120</v>
      </c>
      <c r="B48" s="96" t="s">
        <v>2</v>
      </c>
      <c r="C48" s="64" t="s">
        <v>110</v>
      </c>
      <c r="D48" s="40" t="s">
        <v>109</v>
      </c>
      <c r="E48" s="65" t="s">
        <v>3</v>
      </c>
      <c r="F48" s="66">
        <v>243.35</v>
      </c>
      <c r="G48" s="67">
        <v>93.51</v>
      </c>
      <c r="H48" s="68">
        <f t="shared" ref="H48" si="26">ROUND(G48+(G48*$I$8),2)</f>
        <v>119.69</v>
      </c>
      <c r="I48" s="69">
        <f t="shared" ref="I48" si="27">F48*H48</f>
        <v>29126.5615</v>
      </c>
      <c r="J48" s="104">
        <f>243.35</f>
        <v>243.35</v>
      </c>
      <c r="K48" s="3"/>
    </row>
    <row r="49" spans="1:11" s="5" customFormat="1" ht="43.5" customHeight="1" x14ac:dyDescent="0.25">
      <c r="A49" s="25" t="s">
        <v>181</v>
      </c>
      <c r="B49" s="96" t="s">
        <v>2</v>
      </c>
      <c r="C49" s="64" t="s">
        <v>182</v>
      </c>
      <c r="D49" s="40" t="s">
        <v>183</v>
      </c>
      <c r="E49" s="65" t="s">
        <v>26</v>
      </c>
      <c r="F49" s="66">
        <v>113</v>
      </c>
      <c r="G49" s="67">
        <v>15.46</v>
      </c>
      <c r="H49" s="68">
        <f t="shared" ref="H49" si="28">ROUND(G49+(G49*$I$8),2)</f>
        <v>19.79</v>
      </c>
      <c r="I49" s="69">
        <f t="shared" ref="I49" si="29">F49*H49</f>
        <v>2236.27</v>
      </c>
      <c r="J49" s="104">
        <f>47.1+65.9</f>
        <v>113</v>
      </c>
      <c r="K49" s="3"/>
    </row>
    <row r="50" spans="1:11" s="5" customFormat="1" ht="15" customHeight="1" x14ac:dyDescent="0.25">
      <c r="A50" s="73" t="s">
        <v>112</v>
      </c>
      <c r="B50" s="97"/>
      <c r="C50" s="98"/>
      <c r="D50" s="99" t="s">
        <v>121</v>
      </c>
      <c r="E50" s="77"/>
      <c r="F50" s="78"/>
      <c r="G50" s="79"/>
      <c r="H50" s="80"/>
      <c r="I50" s="81">
        <f>SUM(I51:I55)</f>
        <v>67931.555500000002</v>
      </c>
      <c r="J50" s="50"/>
      <c r="K50" s="3"/>
    </row>
    <row r="51" spans="1:11" s="5" customFormat="1" ht="63" customHeight="1" x14ac:dyDescent="0.25">
      <c r="A51" s="25" t="s">
        <v>122</v>
      </c>
      <c r="B51" s="35" t="s">
        <v>2</v>
      </c>
      <c r="C51" s="70" t="s">
        <v>123</v>
      </c>
      <c r="D51" s="71" t="s">
        <v>124</v>
      </c>
      <c r="E51" s="27" t="s">
        <v>3</v>
      </c>
      <c r="F51" s="28">
        <v>243.35</v>
      </c>
      <c r="G51" s="72">
        <v>118.65</v>
      </c>
      <c r="H51" s="29">
        <f t="shared" ref="H51:H52" si="30">ROUND(G51+(G51*$I$8),2)</f>
        <v>151.87</v>
      </c>
      <c r="I51" s="46">
        <f t="shared" ref="I51:I52" si="31">F51*H51</f>
        <v>36957.5645</v>
      </c>
      <c r="J51" s="50"/>
      <c r="K51" s="3"/>
    </row>
    <row r="52" spans="1:11" s="5" customFormat="1" ht="36.75" customHeight="1" x14ac:dyDescent="0.25">
      <c r="A52" s="25" t="s">
        <v>126</v>
      </c>
      <c r="B52" s="35" t="s">
        <v>2</v>
      </c>
      <c r="C52" s="70" t="s">
        <v>127</v>
      </c>
      <c r="D52" s="71" t="s">
        <v>125</v>
      </c>
      <c r="E52" s="89" t="s">
        <v>3</v>
      </c>
      <c r="F52" s="90">
        <v>243.35</v>
      </c>
      <c r="G52" s="101">
        <v>44.42</v>
      </c>
      <c r="H52" s="102">
        <f t="shared" si="30"/>
        <v>56.86</v>
      </c>
      <c r="I52" s="103">
        <f t="shared" si="31"/>
        <v>13836.880999999999</v>
      </c>
      <c r="J52" s="52"/>
      <c r="K52" s="3"/>
    </row>
    <row r="53" spans="1:11" s="5" customFormat="1" ht="46.5" customHeight="1" x14ac:dyDescent="0.25">
      <c r="A53" s="25" t="s">
        <v>130</v>
      </c>
      <c r="B53" s="35" t="s">
        <v>2</v>
      </c>
      <c r="C53" s="70" t="s">
        <v>129</v>
      </c>
      <c r="D53" s="71" t="s">
        <v>128</v>
      </c>
      <c r="E53" s="89" t="s">
        <v>26</v>
      </c>
      <c r="F53" s="90">
        <v>47</v>
      </c>
      <c r="G53" s="101">
        <v>97.38</v>
      </c>
      <c r="H53" s="102">
        <f t="shared" ref="H53" si="32">ROUND(G53+(G53*$I$8),2)</f>
        <v>124.65</v>
      </c>
      <c r="I53" s="103">
        <f t="shared" ref="I53" si="33">F53*H53</f>
        <v>5858.55</v>
      </c>
      <c r="J53" s="104">
        <f>32+15</f>
        <v>47</v>
      </c>
      <c r="K53" s="3"/>
    </row>
    <row r="54" spans="1:11" s="5" customFormat="1" ht="46.5" customHeight="1" x14ac:dyDescent="0.25">
      <c r="A54" s="25" t="s">
        <v>131</v>
      </c>
      <c r="B54" s="35" t="s">
        <v>2</v>
      </c>
      <c r="C54" s="70" t="s">
        <v>133</v>
      </c>
      <c r="D54" s="71" t="s">
        <v>132</v>
      </c>
      <c r="E54" s="89" t="s">
        <v>26</v>
      </c>
      <c r="F54" s="90">
        <v>124</v>
      </c>
      <c r="G54" s="101">
        <v>64.45</v>
      </c>
      <c r="H54" s="102">
        <f t="shared" ref="H54" si="34">ROUND(G54+(G54*$I$8),2)</f>
        <v>82.5</v>
      </c>
      <c r="I54" s="103">
        <f t="shared" ref="I54" si="35">F54*H54</f>
        <v>10230</v>
      </c>
      <c r="J54" s="104">
        <v>124</v>
      </c>
      <c r="K54" s="3"/>
    </row>
    <row r="55" spans="1:11" s="5" customFormat="1" ht="46.5" customHeight="1" x14ac:dyDescent="0.25">
      <c r="A55" s="25" t="s">
        <v>134</v>
      </c>
      <c r="B55" s="35" t="s">
        <v>2</v>
      </c>
      <c r="C55" s="70" t="s">
        <v>135</v>
      </c>
      <c r="D55" s="71" t="s">
        <v>136</v>
      </c>
      <c r="E55" s="89" t="s">
        <v>26</v>
      </c>
      <c r="F55" s="90">
        <v>24</v>
      </c>
      <c r="G55" s="101">
        <v>34.130000000000003</v>
      </c>
      <c r="H55" s="102">
        <f t="shared" ref="H55" si="36">ROUND(G55+(G55*$I$8),2)</f>
        <v>43.69</v>
      </c>
      <c r="I55" s="103">
        <f t="shared" ref="I55" si="37">F55*H55</f>
        <v>1048.56</v>
      </c>
      <c r="J55" s="104">
        <v>24</v>
      </c>
      <c r="K55" s="3"/>
    </row>
    <row r="56" spans="1:11" s="5" customFormat="1" ht="15" customHeight="1" x14ac:dyDescent="0.25">
      <c r="A56" s="73" t="s">
        <v>141</v>
      </c>
      <c r="B56" s="97"/>
      <c r="C56" s="98"/>
      <c r="D56" s="99" t="s">
        <v>137</v>
      </c>
      <c r="E56" s="77"/>
      <c r="F56" s="78"/>
      <c r="G56" s="79"/>
      <c r="H56" s="80"/>
      <c r="I56" s="81">
        <f>SUM(I57:I60)</f>
        <v>37090.565999999999</v>
      </c>
      <c r="J56" s="50"/>
      <c r="K56" s="3"/>
    </row>
    <row r="57" spans="1:11" s="5" customFormat="1" ht="39.75" customHeight="1" x14ac:dyDescent="0.25">
      <c r="A57" s="25" t="s">
        <v>140</v>
      </c>
      <c r="B57" s="35" t="s">
        <v>2</v>
      </c>
      <c r="C57" s="70" t="s">
        <v>138</v>
      </c>
      <c r="D57" s="71" t="s">
        <v>139</v>
      </c>
      <c r="E57" s="27" t="s">
        <v>3</v>
      </c>
      <c r="F57" s="28">
        <v>19.8</v>
      </c>
      <c r="G57" s="72">
        <v>430</v>
      </c>
      <c r="H57" s="29">
        <f t="shared" ref="H57" si="38">ROUND(G57+(G57*$I$8),2)</f>
        <v>550.4</v>
      </c>
      <c r="I57" s="46">
        <f t="shared" ref="I57" si="39">F57*H57</f>
        <v>10897.92</v>
      </c>
      <c r="J57" s="50"/>
      <c r="K57" s="3"/>
    </row>
    <row r="58" spans="1:11" s="5" customFormat="1" ht="31.5" customHeight="1" x14ac:dyDescent="0.25">
      <c r="A58" s="25" t="s">
        <v>142</v>
      </c>
      <c r="B58" s="35" t="s">
        <v>2</v>
      </c>
      <c r="C58" s="70" t="s">
        <v>143</v>
      </c>
      <c r="D58" s="71" t="s">
        <v>145</v>
      </c>
      <c r="E58" s="27" t="s">
        <v>3</v>
      </c>
      <c r="F58" s="28">
        <v>14.07</v>
      </c>
      <c r="G58" s="72">
        <v>635</v>
      </c>
      <c r="H58" s="29">
        <f t="shared" ref="H58:H59" si="40">ROUND(G58+(G58*$I$8),2)</f>
        <v>812.8</v>
      </c>
      <c r="I58" s="46">
        <f t="shared" ref="I58:I59" si="41">F58*H58</f>
        <v>11436.096</v>
      </c>
      <c r="J58" s="52"/>
      <c r="K58" s="3"/>
    </row>
    <row r="59" spans="1:11" s="5" customFormat="1" ht="30" customHeight="1" x14ac:dyDescent="0.25">
      <c r="A59" s="25" t="s">
        <v>144</v>
      </c>
      <c r="B59" s="35" t="s">
        <v>27</v>
      </c>
      <c r="C59" s="70" t="s">
        <v>147</v>
      </c>
      <c r="D59" s="71" t="s">
        <v>146</v>
      </c>
      <c r="E59" s="27" t="s">
        <v>3</v>
      </c>
      <c r="F59" s="28">
        <v>10</v>
      </c>
      <c r="G59" s="72">
        <v>368.46</v>
      </c>
      <c r="H59" s="29">
        <f t="shared" si="40"/>
        <v>471.63</v>
      </c>
      <c r="I59" s="46">
        <f t="shared" si="41"/>
        <v>4716.3</v>
      </c>
      <c r="J59" s="52"/>
      <c r="K59" s="3"/>
    </row>
    <row r="60" spans="1:11" s="5" customFormat="1" ht="33" customHeight="1" x14ac:dyDescent="0.25">
      <c r="A60" s="25" t="s">
        <v>148</v>
      </c>
      <c r="B60" s="35" t="s">
        <v>27</v>
      </c>
      <c r="C60" s="70" t="s">
        <v>150</v>
      </c>
      <c r="D60" s="71" t="s">
        <v>149</v>
      </c>
      <c r="E60" s="27" t="s">
        <v>3</v>
      </c>
      <c r="F60" s="28">
        <v>15</v>
      </c>
      <c r="G60" s="72">
        <v>522.92999999999995</v>
      </c>
      <c r="H60" s="29">
        <f t="shared" ref="H60" si="42">ROUND(G60+(G60*$I$8),2)</f>
        <v>669.35</v>
      </c>
      <c r="I60" s="46">
        <f t="shared" ref="I60" si="43">F60*H60</f>
        <v>10040.25</v>
      </c>
      <c r="J60" s="52"/>
      <c r="K60" s="3"/>
    </row>
    <row r="61" spans="1:11" s="5" customFormat="1" ht="15" customHeight="1" x14ac:dyDescent="0.25">
      <c r="A61" s="73" t="s">
        <v>151</v>
      </c>
      <c r="B61" s="97"/>
      <c r="C61" s="98"/>
      <c r="D61" s="99" t="s">
        <v>154</v>
      </c>
      <c r="E61" s="77"/>
      <c r="F61" s="78"/>
      <c r="G61" s="79"/>
      <c r="H61" s="80"/>
      <c r="I61" s="81">
        <f>SUM(I62:I68)</f>
        <v>2682.0780000000004</v>
      </c>
      <c r="J61" s="50"/>
      <c r="K61" s="3"/>
    </row>
    <row r="62" spans="1:11" s="5" customFormat="1" ht="86.25" customHeight="1" x14ac:dyDescent="0.25">
      <c r="A62" s="25" t="s">
        <v>171</v>
      </c>
      <c r="B62" s="35" t="s">
        <v>27</v>
      </c>
      <c r="C62" s="70" t="s">
        <v>198</v>
      </c>
      <c r="D62" s="71" t="s">
        <v>199</v>
      </c>
      <c r="E62" s="27" t="s">
        <v>155</v>
      </c>
      <c r="F62" s="28">
        <v>4</v>
      </c>
      <c r="G62" s="72">
        <v>124.35</v>
      </c>
      <c r="H62" s="29">
        <f t="shared" ref="H62" si="44">ROUND(G62+(G62*$I$8),2)</f>
        <v>159.16999999999999</v>
      </c>
      <c r="I62" s="46">
        <f t="shared" ref="I62" si="45">F62*H62</f>
        <v>636.67999999999995</v>
      </c>
      <c r="J62" s="50"/>
      <c r="K62" s="3"/>
    </row>
    <row r="63" spans="1:11" s="5" customFormat="1" ht="102" x14ac:dyDescent="0.25">
      <c r="A63" s="25" t="s">
        <v>192</v>
      </c>
      <c r="B63" s="35" t="s">
        <v>27</v>
      </c>
      <c r="C63" s="70" t="s">
        <v>201</v>
      </c>
      <c r="D63" s="71" t="s">
        <v>200</v>
      </c>
      <c r="E63" s="27" t="s">
        <v>155</v>
      </c>
      <c r="F63" s="90">
        <v>4</v>
      </c>
      <c r="G63" s="72">
        <v>143.22999999999999</v>
      </c>
      <c r="H63" s="29">
        <f t="shared" ref="H63:H64" si="46">ROUND(G63+(G63*$I$8),2)</f>
        <v>183.33</v>
      </c>
      <c r="I63" s="46">
        <f t="shared" ref="I63:I64" si="47">F63*H63</f>
        <v>733.32</v>
      </c>
      <c r="J63" s="52"/>
      <c r="K63" s="3"/>
    </row>
    <row r="64" spans="1:11" s="5" customFormat="1" ht="80.25" customHeight="1" x14ac:dyDescent="0.25">
      <c r="A64" s="25" t="s">
        <v>193</v>
      </c>
      <c r="B64" s="35" t="s">
        <v>27</v>
      </c>
      <c r="C64" s="70" t="s">
        <v>203</v>
      </c>
      <c r="D64" s="71" t="s">
        <v>202</v>
      </c>
      <c r="E64" s="27" t="s">
        <v>155</v>
      </c>
      <c r="F64" s="90">
        <v>1</v>
      </c>
      <c r="G64" s="72">
        <v>200.75</v>
      </c>
      <c r="H64" s="29">
        <f t="shared" si="46"/>
        <v>256.95999999999998</v>
      </c>
      <c r="I64" s="46">
        <f t="shared" si="47"/>
        <v>256.95999999999998</v>
      </c>
      <c r="J64" s="52"/>
      <c r="K64" s="3"/>
    </row>
    <row r="65" spans="1:11" s="5" customFormat="1" ht="34.5" customHeight="1" x14ac:dyDescent="0.25">
      <c r="A65" s="25" t="s">
        <v>194</v>
      </c>
      <c r="B65" s="35" t="s">
        <v>27</v>
      </c>
      <c r="C65" s="70" t="s">
        <v>184</v>
      </c>
      <c r="D65" s="71" t="s">
        <v>185</v>
      </c>
      <c r="E65" s="27" t="s">
        <v>3</v>
      </c>
      <c r="F65" s="90">
        <v>1.2</v>
      </c>
      <c r="G65" s="72">
        <v>365.93</v>
      </c>
      <c r="H65" s="29">
        <f t="shared" ref="H65:H67" si="48">ROUND(G65+(G65*$I$8),2)</f>
        <v>468.39</v>
      </c>
      <c r="I65" s="46">
        <f t="shared" ref="I65:I67" si="49">F65*H65</f>
        <v>562.06799999999998</v>
      </c>
      <c r="J65" s="104">
        <f>2*0.6</f>
        <v>1.2</v>
      </c>
      <c r="K65" s="3"/>
    </row>
    <row r="66" spans="1:11" s="5" customFormat="1" ht="54.75" customHeight="1" x14ac:dyDescent="0.25">
      <c r="A66" s="25" t="s">
        <v>195</v>
      </c>
      <c r="B66" s="35" t="s">
        <v>2</v>
      </c>
      <c r="C66" s="70" t="s">
        <v>186</v>
      </c>
      <c r="D66" s="71" t="s">
        <v>187</v>
      </c>
      <c r="E66" s="27" t="s">
        <v>155</v>
      </c>
      <c r="F66" s="90">
        <v>1</v>
      </c>
      <c r="G66" s="72">
        <v>302.10000000000002</v>
      </c>
      <c r="H66" s="29">
        <f t="shared" si="48"/>
        <v>386.69</v>
      </c>
      <c r="I66" s="46">
        <f t="shared" si="49"/>
        <v>386.69</v>
      </c>
      <c r="J66" s="52"/>
      <c r="K66" s="3"/>
    </row>
    <row r="67" spans="1:11" s="5" customFormat="1" ht="34.5" customHeight="1" x14ac:dyDescent="0.25">
      <c r="A67" s="25" t="s">
        <v>196</v>
      </c>
      <c r="B67" s="35" t="s">
        <v>2</v>
      </c>
      <c r="C67" s="70" t="s">
        <v>188</v>
      </c>
      <c r="D67" s="71" t="s">
        <v>189</v>
      </c>
      <c r="E67" s="27" t="s">
        <v>155</v>
      </c>
      <c r="F67" s="90">
        <v>1</v>
      </c>
      <c r="G67" s="72">
        <v>10.09</v>
      </c>
      <c r="H67" s="29">
        <f t="shared" si="48"/>
        <v>12.92</v>
      </c>
      <c r="I67" s="46">
        <f t="shared" si="49"/>
        <v>12.92</v>
      </c>
      <c r="J67" s="52"/>
      <c r="K67" s="3"/>
    </row>
    <row r="68" spans="1:11" s="5" customFormat="1" ht="44.25" customHeight="1" x14ac:dyDescent="0.25">
      <c r="A68" s="25" t="s">
        <v>197</v>
      </c>
      <c r="B68" s="35" t="s">
        <v>2</v>
      </c>
      <c r="C68" s="70" t="s">
        <v>191</v>
      </c>
      <c r="D68" s="71" t="s">
        <v>190</v>
      </c>
      <c r="E68" s="27" t="s">
        <v>155</v>
      </c>
      <c r="F68" s="90">
        <v>1</v>
      </c>
      <c r="G68" s="72">
        <v>73</v>
      </c>
      <c r="H68" s="29">
        <f t="shared" ref="H68" si="50">ROUND(G68+(G68*$I$8),2)</f>
        <v>93.44</v>
      </c>
      <c r="I68" s="46">
        <f t="shared" ref="I68" si="51">F68*H68</f>
        <v>93.44</v>
      </c>
      <c r="J68" s="52"/>
      <c r="K68" s="3"/>
    </row>
    <row r="69" spans="1:11" s="5" customFormat="1" ht="15" customHeight="1" x14ac:dyDescent="0.25">
      <c r="A69" s="73" t="s">
        <v>153</v>
      </c>
      <c r="B69" s="97"/>
      <c r="C69" s="98"/>
      <c r="D69" s="99" t="s">
        <v>152</v>
      </c>
      <c r="E69" s="77"/>
      <c r="F69" s="78"/>
      <c r="G69" s="79"/>
      <c r="H69" s="80"/>
      <c r="I69" s="81">
        <f>SUM(I70:I76)</f>
        <v>26097.919999999998</v>
      </c>
      <c r="J69" s="50"/>
      <c r="K69" s="3"/>
    </row>
    <row r="70" spans="1:11" s="5" customFormat="1" ht="42" customHeight="1" x14ac:dyDescent="0.25">
      <c r="A70" s="25" t="s">
        <v>170</v>
      </c>
      <c r="B70" s="35" t="s">
        <v>2</v>
      </c>
      <c r="C70" s="70" t="s">
        <v>156</v>
      </c>
      <c r="D70" s="71" t="s">
        <v>157</v>
      </c>
      <c r="E70" s="27" t="s">
        <v>26</v>
      </c>
      <c r="F70" s="28">
        <v>200</v>
      </c>
      <c r="G70" s="72">
        <v>3.75</v>
      </c>
      <c r="H70" s="29">
        <f t="shared" ref="H70" si="52">ROUND(G70+(G70*$I$8),2)</f>
        <v>4.8</v>
      </c>
      <c r="I70" s="46">
        <f t="shared" ref="I70" si="53">F70*H70</f>
        <v>960</v>
      </c>
      <c r="J70" s="50"/>
      <c r="K70" s="3"/>
    </row>
    <row r="71" spans="1:11" s="5" customFormat="1" ht="44.25" customHeight="1" x14ac:dyDescent="0.25">
      <c r="A71" s="25" t="s">
        <v>172</v>
      </c>
      <c r="B71" s="35" t="s">
        <v>2</v>
      </c>
      <c r="C71" s="70" t="s">
        <v>158</v>
      </c>
      <c r="D71" s="71" t="s">
        <v>159</v>
      </c>
      <c r="E71" s="27" t="s">
        <v>26</v>
      </c>
      <c r="F71" s="28">
        <v>200</v>
      </c>
      <c r="G71" s="72">
        <v>5.82</v>
      </c>
      <c r="H71" s="29">
        <f t="shared" ref="H71" si="54">ROUND(G71+(G71*$I$8),2)</f>
        <v>7.45</v>
      </c>
      <c r="I71" s="46">
        <f t="shared" ref="I71" si="55">F71*H71</f>
        <v>1490</v>
      </c>
      <c r="J71" s="50"/>
      <c r="K71" s="3"/>
    </row>
    <row r="72" spans="1:11" s="5" customFormat="1" ht="40.5" customHeight="1" x14ac:dyDescent="0.25">
      <c r="A72" s="25" t="s">
        <v>173</v>
      </c>
      <c r="B72" s="35" t="s">
        <v>2</v>
      </c>
      <c r="C72" s="70" t="s">
        <v>168</v>
      </c>
      <c r="D72" s="71" t="s">
        <v>169</v>
      </c>
      <c r="E72" s="27" t="s">
        <v>155</v>
      </c>
      <c r="F72" s="28">
        <v>40</v>
      </c>
      <c r="G72" s="72">
        <v>36.15</v>
      </c>
      <c r="H72" s="29">
        <f t="shared" ref="H72:H73" si="56">ROUND(G72+(G72*$I$8),2)</f>
        <v>46.27</v>
      </c>
      <c r="I72" s="46">
        <f t="shared" ref="I72:I73" si="57">F72*H72</f>
        <v>1850.8000000000002</v>
      </c>
      <c r="J72" s="50"/>
      <c r="K72" s="3"/>
    </row>
    <row r="73" spans="1:11" s="5" customFormat="1" ht="48" customHeight="1" x14ac:dyDescent="0.25">
      <c r="A73" s="25" t="s">
        <v>174</v>
      </c>
      <c r="B73" s="35" t="s">
        <v>2</v>
      </c>
      <c r="C73" s="70" t="s">
        <v>160</v>
      </c>
      <c r="D73" s="71" t="s">
        <v>161</v>
      </c>
      <c r="E73" s="89" t="s">
        <v>26</v>
      </c>
      <c r="F73" s="90">
        <v>200</v>
      </c>
      <c r="G73" s="101">
        <v>8.82</v>
      </c>
      <c r="H73" s="102">
        <f t="shared" si="56"/>
        <v>11.29</v>
      </c>
      <c r="I73" s="103">
        <f t="shared" si="57"/>
        <v>2258</v>
      </c>
      <c r="J73" s="52"/>
      <c r="K73" s="3"/>
    </row>
    <row r="74" spans="1:11" s="5" customFormat="1" ht="124.5" customHeight="1" x14ac:dyDescent="0.25">
      <c r="A74" s="25" t="s">
        <v>175</v>
      </c>
      <c r="B74" s="35" t="s">
        <v>27</v>
      </c>
      <c r="C74" s="70" t="s">
        <v>166</v>
      </c>
      <c r="D74" s="71" t="s">
        <v>167</v>
      </c>
      <c r="E74" s="27" t="s">
        <v>155</v>
      </c>
      <c r="F74" s="90">
        <v>40</v>
      </c>
      <c r="G74" s="101">
        <v>143.25</v>
      </c>
      <c r="H74" s="102">
        <f t="shared" ref="H74" si="58">ROUND(G74+(G74*$I$8),2)</f>
        <v>183.36</v>
      </c>
      <c r="I74" s="103">
        <f t="shared" ref="I74" si="59">F74*H74</f>
        <v>7334.4000000000005</v>
      </c>
      <c r="J74" s="52"/>
      <c r="K74" s="3"/>
    </row>
    <row r="75" spans="1:11" s="5" customFormat="1" ht="142.5" customHeight="1" x14ac:dyDescent="0.25">
      <c r="A75" s="25" t="s">
        <v>176</v>
      </c>
      <c r="B75" s="35" t="s">
        <v>27</v>
      </c>
      <c r="C75" s="70" t="s">
        <v>162</v>
      </c>
      <c r="D75" s="71" t="s">
        <v>163</v>
      </c>
      <c r="E75" s="27" t="s">
        <v>155</v>
      </c>
      <c r="F75" s="90">
        <v>12</v>
      </c>
      <c r="G75" s="101">
        <v>230.06</v>
      </c>
      <c r="H75" s="102">
        <f t="shared" ref="H75" si="60">ROUND(G75+(G75*$I$8),2)</f>
        <v>294.48</v>
      </c>
      <c r="I75" s="103">
        <f t="shared" ref="I75" si="61">F75*H75</f>
        <v>3533.76</v>
      </c>
      <c r="J75" s="52"/>
      <c r="K75" s="3"/>
    </row>
    <row r="76" spans="1:11" s="5" customFormat="1" ht="147.75" customHeight="1" x14ac:dyDescent="0.25">
      <c r="A76" s="25" t="s">
        <v>177</v>
      </c>
      <c r="B76" s="35" t="s">
        <v>27</v>
      </c>
      <c r="C76" s="70" t="s">
        <v>164</v>
      </c>
      <c r="D76" s="71" t="s">
        <v>165</v>
      </c>
      <c r="E76" s="27" t="s">
        <v>155</v>
      </c>
      <c r="F76" s="90">
        <v>24</v>
      </c>
      <c r="G76" s="101">
        <v>282.26</v>
      </c>
      <c r="H76" s="102">
        <f t="shared" ref="H76" si="62">ROUND(G76+(G76*$I$8),2)</f>
        <v>361.29</v>
      </c>
      <c r="I76" s="103">
        <f t="shared" ref="I76" si="63">F76*H76</f>
        <v>8670.9600000000009</v>
      </c>
      <c r="J76" s="52"/>
      <c r="K76" s="3"/>
    </row>
    <row r="77" spans="1:11" s="5" customFormat="1" ht="15" customHeight="1" x14ac:dyDescent="0.25">
      <c r="A77" s="73" t="s">
        <v>178</v>
      </c>
      <c r="B77" s="97"/>
      <c r="C77" s="98"/>
      <c r="D77" s="99" t="s">
        <v>113</v>
      </c>
      <c r="E77" s="77"/>
      <c r="F77" s="78"/>
      <c r="G77" s="79"/>
      <c r="H77" s="80"/>
      <c r="I77" s="81">
        <f>SUM(I78:I79)</f>
        <v>21159.148000000001</v>
      </c>
      <c r="J77" s="50"/>
      <c r="K77" s="3"/>
    </row>
    <row r="78" spans="1:11" s="5" customFormat="1" ht="32.25" customHeight="1" x14ac:dyDescent="0.25">
      <c r="A78" s="25" t="s">
        <v>179</v>
      </c>
      <c r="B78" s="35" t="s">
        <v>2</v>
      </c>
      <c r="C78" s="70" t="s">
        <v>33</v>
      </c>
      <c r="D78" s="71" t="s">
        <v>55</v>
      </c>
      <c r="E78" s="27" t="s">
        <v>3</v>
      </c>
      <c r="F78" s="28">
        <v>1106.6500000000001</v>
      </c>
      <c r="G78" s="72">
        <v>3.9</v>
      </c>
      <c r="H78" s="29">
        <f t="shared" si="18"/>
        <v>4.99</v>
      </c>
      <c r="I78" s="46">
        <f t="shared" si="1"/>
        <v>5522.183500000001</v>
      </c>
      <c r="J78" s="50">
        <f>163.2+502.4+441.05</f>
        <v>1106.6499999999999</v>
      </c>
      <c r="K78" s="3"/>
    </row>
    <row r="79" spans="1:11" s="5" customFormat="1" ht="35.25" customHeight="1" x14ac:dyDescent="0.25">
      <c r="A79" s="43" t="s">
        <v>180</v>
      </c>
      <c r="B79" s="53" t="s">
        <v>2</v>
      </c>
      <c r="C79" s="54" t="s">
        <v>34</v>
      </c>
      <c r="D79" s="61" t="s">
        <v>56</v>
      </c>
      <c r="E79" s="55" t="s">
        <v>3</v>
      </c>
      <c r="F79" s="56">
        <v>1106.6500000000001</v>
      </c>
      <c r="G79" s="57">
        <v>11.04</v>
      </c>
      <c r="H79" s="58">
        <f t="shared" si="0"/>
        <v>14.13</v>
      </c>
      <c r="I79" s="59">
        <f t="shared" si="1"/>
        <v>15636.964500000002</v>
      </c>
      <c r="J79" s="50">
        <f>163.2+502.4+441.05</f>
        <v>1106.6499999999999</v>
      </c>
      <c r="K79" s="3"/>
    </row>
    <row r="80" spans="1:11" s="5" customFormat="1" ht="15" customHeight="1" x14ac:dyDescent="0.25">
      <c r="A80" s="73" t="s">
        <v>205</v>
      </c>
      <c r="B80" s="97"/>
      <c r="C80" s="98"/>
      <c r="D80" s="99" t="s">
        <v>204</v>
      </c>
      <c r="E80" s="77"/>
      <c r="F80" s="78"/>
      <c r="G80" s="79"/>
      <c r="H80" s="80"/>
      <c r="I80" s="81">
        <f>SUM(I81)</f>
        <v>3509.8919999999994</v>
      </c>
      <c r="J80" s="50"/>
      <c r="K80" s="3"/>
    </row>
    <row r="81" spans="1:11" s="5" customFormat="1" ht="15" customHeight="1" x14ac:dyDescent="0.25">
      <c r="A81" s="43" t="s">
        <v>206</v>
      </c>
      <c r="B81" s="53" t="s">
        <v>27</v>
      </c>
      <c r="C81" s="54" t="s">
        <v>208</v>
      </c>
      <c r="D81" s="61" t="s">
        <v>207</v>
      </c>
      <c r="E81" s="55" t="s">
        <v>3</v>
      </c>
      <c r="F81" s="56">
        <v>423.9</v>
      </c>
      <c r="G81" s="57">
        <v>6.47</v>
      </c>
      <c r="H81" s="58">
        <f t="shared" ref="H81" si="64">ROUND(G81+(G81*$I$8),2)</f>
        <v>8.2799999999999994</v>
      </c>
      <c r="I81" s="59">
        <f t="shared" ref="I81" si="65">F81*H81</f>
        <v>3509.8919999999994</v>
      </c>
      <c r="J81" s="50"/>
      <c r="K81" s="3"/>
    </row>
    <row r="82" spans="1:11" s="5" customFormat="1" ht="17.25" customHeight="1" x14ac:dyDescent="0.25">
      <c r="A82" s="119" t="s">
        <v>209</v>
      </c>
      <c r="B82" s="120"/>
      <c r="C82" s="120"/>
      <c r="D82" s="120"/>
      <c r="E82" s="120"/>
      <c r="F82" s="120"/>
      <c r="G82" s="120"/>
      <c r="H82" s="121"/>
      <c r="I82" s="30">
        <f>SUM(I11+I14+I20+I24+I27+I32+I36+I39+I45+I50+I56+I61+I69+I77+I80)</f>
        <v>643359.89540000004</v>
      </c>
      <c r="J82" s="50"/>
      <c r="K82" s="3"/>
    </row>
    <row r="83" spans="1:11" s="5" customFormat="1" x14ac:dyDescent="0.25">
      <c r="A83" s="117"/>
      <c r="B83" s="118"/>
      <c r="C83" s="118"/>
      <c r="D83" s="118"/>
      <c r="E83" s="118"/>
      <c r="F83" s="118"/>
      <c r="G83" s="118"/>
      <c r="H83" s="118"/>
      <c r="I83" s="41"/>
      <c r="J83" s="47"/>
    </row>
    <row r="84" spans="1:11" s="5" customFormat="1" x14ac:dyDescent="0.25">
      <c r="A84" s="48"/>
      <c r="B84" s="48"/>
      <c r="C84" s="48"/>
      <c r="D84" s="60"/>
      <c r="E84" s="13"/>
      <c r="F84" s="4"/>
      <c r="G84" s="4"/>
      <c r="H84" s="4"/>
      <c r="I84" s="4"/>
    </row>
    <row r="85" spans="1:11" s="5" customFormat="1" x14ac:dyDescent="0.25">
      <c r="A85" s="13"/>
      <c r="B85" s="13"/>
      <c r="C85" s="13"/>
      <c r="D85" s="13"/>
      <c r="E85" s="13"/>
      <c r="F85" s="4"/>
      <c r="G85" s="4"/>
      <c r="H85" s="4"/>
      <c r="I85" s="42"/>
    </row>
    <row r="86" spans="1:11" s="5" customFormat="1" x14ac:dyDescent="0.25">
      <c r="A86" s="4"/>
      <c r="B86" s="4"/>
      <c r="C86" s="4"/>
      <c r="D86" s="4"/>
      <c r="E86" s="4"/>
      <c r="F86" s="4"/>
      <c r="G86" s="4"/>
      <c r="H86" s="4"/>
      <c r="I86" s="4"/>
    </row>
    <row r="87" spans="1:11" x14ac:dyDescent="0.25">
      <c r="A87" s="4"/>
      <c r="B87" s="4"/>
      <c r="C87" s="4"/>
      <c r="D87" s="4"/>
      <c r="E87" s="4"/>
      <c r="F87" s="4"/>
      <c r="G87" s="4"/>
      <c r="H87" s="4"/>
      <c r="I87" s="4"/>
    </row>
    <row r="88" spans="1:11" x14ac:dyDescent="0.25">
      <c r="A88" s="8" t="s">
        <v>21</v>
      </c>
      <c r="B88" s="4"/>
      <c r="C88" s="4"/>
      <c r="D88" s="4"/>
      <c r="E88" s="111" t="s">
        <v>52</v>
      </c>
      <c r="F88" s="111"/>
      <c r="G88" s="111"/>
      <c r="H88" s="111"/>
      <c r="I88" s="8"/>
    </row>
    <row r="89" spans="1:11" x14ac:dyDescent="0.25">
      <c r="A89" s="7" t="s">
        <v>22</v>
      </c>
      <c r="B89" s="8"/>
      <c r="C89" s="8"/>
      <c r="D89" s="8"/>
      <c r="E89" s="111" t="s">
        <v>23</v>
      </c>
      <c r="F89" s="111"/>
      <c r="G89" s="111"/>
      <c r="H89" s="111"/>
      <c r="I89" s="9"/>
    </row>
    <row r="90" spans="1:11" x14ac:dyDescent="0.25">
      <c r="A90" s="7" t="s">
        <v>14</v>
      </c>
      <c r="B90" s="8"/>
      <c r="C90" s="8"/>
      <c r="D90" s="8"/>
      <c r="E90" s="8"/>
      <c r="F90" s="8"/>
      <c r="G90" s="8"/>
      <c r="H90" s="8"/>
      <c r="I90" s="8"/>
    </row>
    <row r="91" spans="1:11" x14ac:dyDescent="0.25">
      <c r="A91" s="7"/>
      <c r="B91" s="8"/>
      <c r="C91" s="8"/>
      <c r="D91" s="8"/>
    </row>
  </sheetData>
  <mergeCells count="12">
    <mergeCell ref="A1:I1"/>
    <mergeCell ref="A6:I6"/>
    <mergeCell ref="E88:H88"/>
    <mergeCell ref="E89:H89"/>
    <mergeCell ref="A2:I2"/>
    <mergeCell ref="A4:I4"/>
    <mergeCell ref="A5:I5"/>
    <mergeCell ref="A8:G8"/>
    <mergeCell ref="A3:I3"/>
    <mergeCell ref="A7:I7"/>
    <mergeCell ref="A83:H83"/>
    <mergeCell ref="A82:H82"/>
  </mergeCells>
  <pageMargins left="0.51181102362204722" right="0.51181102362204722" top="0.78740157480314965" bottom="0.78740157480314965" header="0.31496062992125984" footer="0.31496062992125984"/>
  <pageSetup paperSize="9" scale="75" fitToWidth="0" fitToHeight="0" orientation="portrait" r:id="rId1"/>
  <ignoredErrors>
    <ignoredError sqref="C15 C29 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2023-08-17T18:09:40Z</cp:lastPrinted>
  <dcterms:created xsi:type="dcterms:W3CDTF">2019-06-10T18:07:57Z</dcterms:created>
  <dcterms:modified xsi:type="dcterms:W3CDTF">2023-08-24T20:16:47Z</dcterms:modified>
</cp:coreProperties>
</file>