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Plan1!$A$1:$I$151</definedName>
  </definedNames>
  <calcPr calcId="145621"/>
</workbook>
</file>

<file path=xl/calcChain.xml><?xml version="1.0" encoding="utf-8"?>
<calcChain xmlns="http://schemas.openxmlformats.org/spreadsheetml/2006/main">
  <c r="I144" i="1" l="1"/>
  <c r="J40" i="1"/>
  <c r="J90" i="1"/>
  <c r="J26" i="1"/>
  <c r="J16" i="1" l="1"/>
  <c r="J142" i="1"/>
  <c r="J78" i="1"/>
  <c r="J77" i="1"/>
  <c r="J28" i="1"/>
  <c r="J74" i="1"/>
  <c r="H61" i="1"/>
  <c r="I61" i="1" s="1"/>
  <c r="J47" i="1"/>
  <c r="J44" i="1"/>
  <c r="J43" i="1"/>
  <c r="H44" i="1"/>
  <c r="I44" i="1" s="1"/>
  <c r="H43" i="1"/>
  <c r="I43" i="1" s="1"/>
  <c r="J46" i="1"/>
  <c r="J45" i="1"/>
  <c r="J38" i="1"/>
  <c r="J29" i="1"/>
  <c r="J33" i="1"/>
  <c r="J32" i="1"/>
  <c r="J30" i="1"/>
  <c r="H30" i="1"/>
  <c r="I30" i="1" s="1"/>
  <c r="J27" i="1"/>
  <c r="J25" i="1"/>
  <c r="J21" i="1"/>
  <c r="J22" i="1"/>
  <c r="J23" i="1"/>
  <c r="J19" i="1"/>
  <c r="J20" i="1"/>
  <c r="H119" i="1"/>
  <c r="I119" i="1" s="1"/>
  <c r="J118" i="1"/>
  <c r="J115" i="1"/>
  <c r="H114" i="1"/>
  <c r="I114" i="1" s="1"/>
  <c r="H115" i="1"/>
  <c r="I115" i="1" s="1"/>
  <c r="J88" i="1" l="1"/>
  <c r="J93" i="1"/>
  <c r="J92" i="1"/>
  <c r="J91" i="1"/>
  <c r="J89" i="1"/>
  <c r="J84" i="1"/>
  <c r="J85" i="1"/>
  <c r="J86" i="1"/>
  <c r="J83" i="1"/>
  <c r="J37" i="1"/>
  <c r="J36" i="1"/>
  <c r="J35" i="1"/>
  <c r="J75" i="1"/>
  <c r="J24" i="1"/>
  <c r="H142" i="1" l="1"/>
  <c r="I142" i="1" s="1"/>
  <c r="I141" i="1" s="1"/>
  <c r="H108" i="1"/>
  <c r="I108" i="1" s="1"/>
  <c r="H107" i="1"/>
  <c r="I107" i="1" s="1"/>
  <c r="H106" i="1"/>
  <c r="I106" i="1" s="1"/>
  <c r="H105" i="1"/>
  <c r="I105" i="1" s="1"/>
  <c r="H104" i="1"/>
  <c r="I104" i="1" s="1"/>
  <c r="H103" i="1"/>
  <c r="I103" i="1" s="1"/>
  <c r="J137" i="1"/>
  <c r="J138" i="1"/>
  <c r="J125" i="1"/>
  <c r="J124" i="1"/>
  <c r="J123" i="1"/>
  <c r="J122" i="1"/>
  <c r="J120" i="1"/>
  <c r="J101" i="1"/>
  <c r="J100" i="1"/>
  <c r="J99" i="1"/>
  <c r="J98" i="1"/>
  <c r="J96" i="1"/>
  <c r="J95" i="1"/>
  <c r="J87" i="1"/>
  <c r="H138" i="1"/>
  <c r="I138" i="1" s="1"/>
  <c r="H137" i="1"/>
  <c r="I137" i="1" s="1"/>
  <c r="H135" i="1"/>
  <c r="I135" i="1" s="1"/>
  <c r="H134" i="1"/>
  <c r="I134" i="1" s="1"/>
  <c r="H133" i="1"/>
  <c r="I133" i="1" s="1"/>
  <c r="H132" i="1"/>
  <c r="I132" i="1" s="1"/>
  <c r="H131" i="1"/>
  <c r="I131" i="1" s="1"/>
  <c r="H130" i="1"/>
  <c r="I130" i="1" s="1"/>
  <c r="H129" i="1"/>
  <c r="I129" i="1" s="1"/>
  <c r="H128" i="1"/>
  <c r="I128" i="1" s="1"/>
  <c r="H127" i="1"/>
  <c r="I127" i="1" s="1"/>
  <c r="H125" i="1"/>
  <c r="I125" i="1" s="1"/>
  <c r="H124" i="1"/>
  <c r="I124" i="1" s="1"/>
  <c r="H123" i="1"/>
  <c r="I123" i="1" s="1"/>
  <c r="H122" i="1"/>
  <c r="I122" i="1" s="1"/>
  <c r="H120" i="1"/>
  <c r="I120" i="1" s="1"/>
  <c r="H118" i="1"/>
  <c r="I118" i="1" s="1"/>
  <c r="H116" i="1"/>
  <c r="I116" i="1" s="1"/>
  <c r="H101" i="1"/>
  <c r="I101" i="1" s="1"/>
  <c r="H100" i="1"/>
  <c r="I100" i="1" s="1"/>
  <c r="H99" i="1"/>
  <c r="I99" i="1" s="1"/>
  <c r="H98" i="1"/>
  <c r="I98" i="1" s="1"/>
  <c r="H96" i="1"/>
  <c r="I96" i="1" s="1"/>
  <c r="H95" i="1"/>
  <c r="I95" i="1" s="1"/>
  <c r="H93" i="1"/>
  <c r="I93" i="1" s="1"/>
  <c r="H92" i="1"/>
  <c r="I92" i="1" s="1"/>
  <c r="H91" i="1"/>
  <c r="I91" i="1" s="1"/>
  <c r="H90" i="1"/>
  <c r="I90" i="1" s="1"/>
  <c r="H89" i="1"/>
  <c r="I89" i="1" s="1"/>
  <c r="H88" i="1"/>
  <c r="I88" i="1" s="1"/>
  <c r="H87" i="1"/>
  <c r="I87" i="1" s="1"/>
  <c r="H117" i="1"/>
  <c r="I117" i="1" s="1"/>
  <c r="I113" i="1" l="1"/>
  <c r="I94" i="1"/>
  <c r="I136" i="1"/>
  <c r="I121" i="1"/>
  <c r="I97" i="1"/>
  <c r="I126" i="1"/>
  <c r="H83" i="1"/>
  <c r="I83" i="1" s="1"/>
  <c r="H86" i="1"/>
  <c r="I86" i="1" s="1"/>
  <c r="H85" i="1"/>
  <c r="I85" i="1" s="1"/>
  <c r="H84" i="1"/>
  <c r="I84" i="1" s="1"/>
  <c r="I82" i="1" l="1"/>
  <c r="H16" i="1"/>
  <c r="I16" i="1" s="1"/>
  <c r="I15" i="1" s="1"/>
  <c r="H66" i="1" l="1"/>
  <c r="I66" i="1" s="1"/>
  <c r="H65" i="1"/>
  <c r="I65" i="1" s="1"/>
  <c r="H64" i="1"/>
  <c r="I64" i="1" s="1"/>
  <c r="H67" i="1"/>
  <c r="I67" i="1" s="1"/>
  <c r="H63" i="1"/>
  <c r="I63" i="1" s="1"/>
  <c r="H46" i="1"/>
  <c r="I46" i="1" s="1"/>
  <c r="H45" i="1"/>
  <c r="I45" i="1" s="1"/>
  <c r="H24" i="1"/>
  <c r="I24" i="1" s="1"/>
  <c r="H33" i="1"/>
  <c r="I33" i="1" s="1"/>
  <c r="H32" i="1"/>
  <c r="I32" i="1" s="1"/>
  <c r="I31" i="1" l="1"/>
  <c r="H29" i="1" l="1"/>
  <c r="I29" i="1" s="1"/>
  <c r="H73" i="1"/>
  <c r="I73" i="1" s="1"/>
  <c r="H72" i="1"/>
  <c r="I72" i="1" s="1"/>
  <c r="H55" i="1"/>
  <c r="I55" i="1" s="1"/>
  <c r="J42" i="1" l="1"/>
  <c r="H78" i="1"/>
  <c r="I78" i="1" s="1"/>
  <c r="H77" i="1"/>
  <c r="I77" i="1" s="1"/>
  <c r="H75" i="1"/>
  <c r="I75" i="1" s="1"/>
  <c r="H74" i="1"/>
  <c r="I74" i="1" s="1"/>
  <c r="H70" i="1"/>
  <c r="I70" i="1" s="1"/>
  <c r="H69" i="1"/>
  <c r="I69" i="1" s="1"/>
  <c r="H68" i="1"/>
  <c r="I68" i="1" s="1"/>
  <c r="H60" i="1"/>
  <c r="I60" i="1" s="1"/>
  <c r="H59" i="1"/>
  <c r="I59" i="1" s="1"/>
  <c r="H58" i="1"/>
  <c r="I58" i="1" s="1"/>
  <c r="H57" i="1"/>
  <c r="I57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7" i="1"/>
  <c r="I47" i="1" s="1"/>
  <c r="H42" i="1"/>
  <c r="I42" i="1" s="1"/>
  <c r="H41" i="1"/>
  <c r="I41" i="1" s="1"/>
  <c r="H40" i="1"/>
  <c r="I40" i="1" s="1"/>
  <c r="H38" i="1"/>
  <c r="I38" i="1" s="1"/>
  <c r="H37" i="1"/>
  <c r="I37" i="1" s="1"/>
  <c r="H36" i="1"/>
  <c r="I36" i="1" s="1"/>
  <c r="H35" i="1"/>
  <c r="I35" i="1" s="1"/>
  <c r="H28" i="1"/>
  <c r="I28" i="1" s="1"/>
  <c r="H27" i="1"/>
  <c r="I27" i="1" s="1"/>
  <c r="H26" i="1"/>
  <c r="I26" i="1" s="1"/>
  <c r="H25" i="1"/>
  <c r="I25" i="1" s="1"/>
  <c r="I56" i="1" l="1"/>
  <c r="I48" i="1"/>
  <c r="I34" i="1"/>
  <c r="I76" i="1"/>
  <c r="I71" i="1"/>
  <c r="I62" i="1"/>
  <c r="I39" i="1"/>
  <c r="H23" i="1" l="1"/>
  <c r="I23" i="1" s="1"/>
  <c r="H22" i="1"/>
  <c r="I22" i="1" s="1"/>
  <c r="H21" i="1"/>
  <c r="I21" i="1" s="1"/>
  <c r="H20" i="1"/>
  <c r="I20" i="1" s="1"/>
  <c r="I19" i="1" l="1"/>
  <c r="I79" i="1" s="1"/>
  <c r="H112" i="1"/>
  <c r="I112" i="1" s="1"/>
  <c r="J109" i="1"/>
  <c r="H109" i="1"/>
  <c r="I109" i="1" s="1"/>
  <c r="H110" i="1"/>
  <c r="I110" i="1" s="1"/>
  <c r="H111" i="1"/>
  <c r="I111" i="1" s="1"/>
  <c r="I102" i="1" l="1"/>
  <c r="I139" i="1" s="1"/>
  <c r="H13" i="1" l="1"/>
  <c r="I13" i="1" s="1"/>
  <c r="H12" i="1" l="1"/>
  <c r="I12" i="1" s="1"/>
  <c r="I11" i="1" s="1"/>
</calcChain>
</file>

<file path=xl/sharedStrings.xml><?xml version="1.0" encoding="utf-8"?>
<sst xmlns="http://schemas.openxmlformats.org/spreadsheetml/2006/main" count="606" uniqueCount="322">
  <si>
    <t/>
  </si>
  <si>
    <t>1.1</t>
  </si>
  <si>
    <t>SINAPI</t>
  </si>
  <si>
    <t>M2</t>
  </si>
  <si>
    <t>ITEM</t>
  </si>
  <si>
    <t>FONTE</t>
  </si>
  <si>
    <t>DESCRIÇÃO</t>
  </si>
  <si>
    <t>UNID</t>
  </si>
  <si>
    <t>QUANT</t>
  </si>
  <si>
    <t>CUSTO UNITÁRIO (R$)</t>
  </si>
  <si>
    <t>UNITÁRIO COM BDI (R$)</t>
  </si>
  <si>
    <t>VALOR TOTAL COM BDI (R$)</t>
  </si>
  <si>
    <t>CODIGO</t>
  </si>
  <si>
    <t xml:space="preserve">BDI: </t>
  </si>
  <si>
    <t>CREA: 56.250/D</t>
  </si>
  <si>
    <t>PLANILHA ORÇAMENTÁRIA</t>
  </si>
  <si>
    <t>1.0</t>
  </si>
  <si>
    <t>M3</t>
  </si>
  <si>
    <t>JOSÉ AIRTON JUNHO DOS REIS</t>
  </si>
  <si>
    <t>ENGENHEIRO CIVIL</t>
  </si>
  <si>
    <t>PREFEITO MUNICIPAL</t>
  </si>
  <si>
    <t>93205</t>
  </si>
  <si>
    <t>CINTA DE AMARRAÇÃO DE ALVENARIA MOLDADA IN LOCO COM UTILIZAÇÃO DE BLOCOS CANALETA. AF_03/2016</t>
  </si>
  <si>
    <t>M</t>
  </si>
  <si>
    <t>SETOP</t>
  </si>
  <si>
    <t>101173</t>
  </si>
  <si>
    <t>KG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</si>
  <si>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</si>
  <si>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</si>
  <si>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88485</t>
  </si>
  <si>
    <t>88489</t>
  </si>
  <si>
    <t>SERVIÇOS PRELIMINARES</t>
  </si>
  <si>
    <t>2.0</t>
  </si>
  <si>
    <t>2.1</t>
  </si>
  <si>
    <t>92762</t>
  </si>
  <si>
    <t>ARMAÇÃO DE PILAR OU VIGA DE UMA ESTRUTURA CONVENCIONAL DE CONCRETO ARMADO EM UTILIZANDO AÇO CA-50 DE 10,0 MM - MONTAGEM. AF_06/2022</t>
  </si>
  <si>
    <t>FORNECIMENTO E COLOCAÇÃO DE PLACA DE OBRA EM CHAPA GALVANIZADA #26, ESP. 0,45MM, DIMENSÃO (3X1,5)M, PLOTADA COM ADESIVO VINÍLICO, AFIXADA COM REBITES 4,8X40MM, EM ESTRUTURA METÁLICA DE METALON 20X20MM, ESP. 1,25MM, INCLUSIVE SUPORTE EM EUCALIPTO AUTOCLAVADO PINTADO COM TINTA PVA DUAS (2) DEMÃOS</t>
  </si>
  <si>
    <t>ED-28427</t>
  </si>
  <si>
    <t>96536</t>
  </si>
  <si>
    <t xml:space="preserve">FABRICAÇÃO, MONTAGEM E DESMONTAGEM DE FÔRMA PARA VIGA BALDRAME, EM MADEIRA SERRADA, E=25 MM, 4 UTILIZAÇÕES. AF_06/2017 </t>
  </si>
  <si>
    <t>MUNICÍPIO: CONCEIÇÃO DOS OUROS/MG</t>
  </si>
  <si>
    <t>LUÍS FERNANDO ROSA DE CASTRO</t>
  </si>
  <si>
    <t>FUNDO SELADOR ACRÍLICO, APLICAÇÃO MANUAL EM PAREDE, UMA DEMÃO. AF_04/2023</t>
  </si>
  <si>
    <t>PINTURA LÁTEX ACRÍLICA PREMIUM, APLICAÇÃO MANUAL EM PAREDES, DUAS DEMÃOS. AF_04/2023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</si>
  <si>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</si>
  <si>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103318</t>
  </si>
  <si>
    <t>ALVENARIA DE VEDAÇÃO DE BLOCOS VAZADOS DE CONCRETO DE 14X19X39 CM (ESPESSURA 14 CM) E ARGAMASSA DE ASSENTAMENTO COM PREPARO EM BETONEIRA. AF_12/2021</t>
  </si>
  <si>
    <t>1.2</t>
  </si>
  <si>
    <t>ESTACA BROCA DE CONCRETO, DIÂMETRO DE 20 CM, ESCAVAÇÃO MANUAL COM TRADO CONCHA, COM ARMADURA DE ARRANQUE. AF_05/2020</t>
  </si>
  <si>
    <t>3.0</t>
  </si>
  <si>
    <t>3.1</t>
  </si>
  <si>
    <t>3.2</t>
  </si>
  <si>
    <t>3.3</t>
  </si>
  <si>
    <t>4.0</t>
  </si>
  <si>
    <t>LAJE PRÉ-MOLDADA UNIDIRECIONAL, BIAPOIADA, PARA PISO, ENCHIMENTO EM CERÂMICA, VIGOTA CONVENCIONAL, ALTURA TOTAL DA LAJE (ENCHIMENTO+CAPA) =(8+4). AF_11/2020_PA</t>
  </si>
  <si>
    <t>101963</t>
  </si>
  <si>
    <t>FABRICAÇÃO DE ESCORAS DO TIPO PONTALETE, EM MADEIRA, PARA PÉ-DIREITO SIMPLES. AF_09/2020</t>
  </si>
  <si>
    <t>92273</t>
  </si>
  <si>
    <t>4.1</t>
  </si>
  <si>
    <t>4.2</t>
  </si>
  <si>
    <t>5.0</t>
  </si>
  <si>
    <t>5.1</t>
  </si>
  <si>
    <t>101964</t>
  </si>
  <si>
    <t>LAJE PRÉ-MOLDADA UNIDIRECIONAL, BIAPOIADA, PARA FORRO, ENCHIMENTO EM CERÂMICA, VIGOTA CONVENCIONAL, ALTURA TOTAL DA LAJE (ENCHIMENTO+CAPA) =(8+3). AF_11/2020_PA</t>
  </si>
  <si>
    <t>PISO</t>
  </si>
  <si>
    <t>PISO EM CONCRETO 20 MPA PREPARO MECÂNICO, ESPESSURA 7CM. AF_09/2020</t>
  </si>
  <si>
    <t>101747</t>
  </si>
  <si>
    <t>(COMPOSIÇÃO REPRESENTATIVA) DO SERVIÇO DE CONTRAPISO EM ARGAMASSA TRAÇO 1:4 (CIM E AREIA), BETONEIRA 400 L, E = 4 CM ÁREAS SECAS E MOLHADASSOBRE LAJE , E = 3 CM ÁREAS MOLHADAS SOBRE IMPERMEABILIZAÇÃO, CASA E EDIFICAÇÃO PÚBLICA PADRÃO. AF_11/2014</t>
  </si>
  <si>
    <t>94439</t>
  </si>
  <si>
    <t>COBERTURA</t>
  </si>
  <si>
    <t>CALHA EM CHAPA DE AÇO GALVANIZADO NÚMERO 24, DESENVOLVIMENTO DE 50 CM, INCLUSO TRANSPORTE VERTICAL. AF_07/2019</t>
  </si>
  <si>
    <t>94228</t>
  </si>
  <si>
    <t>RUFO EXTERNO/INTERNO EM CHAPA DE AÇO GALVANIZADO NÚMERO 26, CORTE DE 33 CM, INCLUSO IÇAMENTO. AF_07/2019</t>
  </si>
  <si>
    <t>100327</t>
  </si>
  <si>
    <t>89578</t>
  </si>
  <si>
    <t>TUBO PVC, SÉRIE R, ÁGUA PLUVIAL, DN 100 MM, FORNECIDO E INSTALADO EM CONDUTORES VERTICAIS DE ÁGUAS PLUVIAIS. AF_06/2022</t>
  </si>
  <si>
    <t>ESQUADRIAS</t>
  </si>
  <si>
    <t>102180</t>
  </si>
  <si>
    <t>INSTALAÇÃO DE VIDRO TEMPERADO, E = 8 MM, ENCAIXADO EM PERFIL U. AF_01/2021_PS</t>
  </si>
  <si>
    <t>102181</t>
  </si>
  <si>
    <t>SOLEIRA EM GRANITO, NA COR CINZA ANDORINHA, ESP. 3CM, INCLUSIVE REJUNTAMENTO</t>
  </si>
  <si>
    <t>ED-51003</t>
  </si>
  <si>
    <t>INSTALAÇÃO ELÉTRICA</t>
  </si>
  <si>
    <t>INSTALAÇÃO HIDRO-SANITÁRIA</t>
  </si>
  <si>
    <t>UN</t>
  </si>
  <si>
    <t>91926</t>
  </si>
  <si>
    <t>CABO DE COBRE FLEXÍVEL ISOLADO, 2,5 MM², ANTI-CHAMA 450/750 V, PARA CIRCUITOS TERMINAIS - FORNECIMENTO E INSTALAÇÃO. AF_03/2023</t>
  </si>
  <si>
    <t>91928</t>
  </si>
  <si>
    <t>CABO DE COBRE FLEXÍVEL ISOLADO, 4 MM², ANTI-CHAMA 450/750 V, PARA CIRCUITOS TERMINAIS - FORNECIMENTO E INSTALAÇÃO. AF_03/2023</t>
  </si>
  <si>
    <t>91854</t>
  </si>
  <si>
    <t>ELETRODUTO FLEXÍVEL CORRUGADO, PVC, DN 25 MM (3/4"), PARA CIRCUITOS TERMINAIS, INSTALADO EM PAREDE - FORNECIMENTO E INSTALAÇÃO. AF_03/2023</t>
  </si>
  <si>
    <t>ED-50227</t>
  </si>
  <si>
    <t>PONTO DE EMBUTIR PARA UM (1) INTERRUPTOR SIMPLES (10A-250V), COM PLACA 4"X2" DE UM (1) POSTO, COM ELETRODUTO FLEXÍVEL CORRUGADO, ANTI-CHAMA, DN 25MM (3/4"), EMBUTIDO NA ALVENARIA E CABO DE COBRE FLEXÍVEL, CLASSE 5, ISOLAMENTO TIPO LSHF/ATOX, NÃO HALOGENADO, SEÇÃO 1,5MM2 (70°C-450/750V), COM DISTÂNCIA DE ATÉ DEZ (10) METROS DO PONTO DE DERIVAÇÃO, INCLUSIVE CAIXA DE LIGAÇÃO, SUPORTE E FIXAÇÃO DO ELETRODUTO COM ENCHIMENTO DO RASGO NA ALVENARIA/CONCRETO COM ARGAMASSA</t>
  </si>
  <si>
    <t>ED-50232</t>
  </si>
  <si>
    <t>PONTO DE EMBUTIR PARA UMA (1) TOMADA PADRÃO, TRÊS (3) POLOS (2P+T/10A-250V), COM PLACA 4"X2" DE UM (1) POSTO, COM ELETRODUTO FLEXÍVEL CORRUGADO, ANTI-CHAMA, DN 25MM (3/4"), EMBUTIDO NA ALVENARIA E CABO DE COBRE FLEXÍVEL, CLASSE 5, ISOLAMENTO TIPO LSHF/ATOX, NÃO HALOGENADO, SEÇÃO 2,5MM2 (70°C 450/750V), COM DISTÂNCIA DE ATÉ DEZ (10) METROS DO PONTO DE DERIVAÇÃO, INCLUSIVE CAIXA DE LIGAÇÃO, SUPORTE E FIXAÇÃO DO ELETRODUTO COM ENCHIMENTO DO RASGO NA ALVENARIA/CONCRETO COM ARGAMASSA</t>
  </si>
  <si>
    <t>ED-50228</t>
  </si>
  <si>
    <t>PONTO DE EMBUTIR PARA UMA (1) LUMINÁRIA,COM ELETRODUTO DE PVC RÍGIDO ROSCÁVEL, DN 20MM (3/4"), EMBUTIDO NA LAJE E CABO DE COBRE FLEXÍVEL, CLASSE 5, ISOLAMENTO TIPO LSHF/ATOX, NÃO HALOGENADO, SEÇÃO 1,5MM2 (70°C-450/750V), COM DISTÂNCIA DE ATÉ CINCO (5) METROS DO PONTO DE DERIVAÇÃO, EXCLUSIVE LUMINÁRIA, INCLUSIVE CAIXA DE LIGAÇÃO OCTOGONAL, SUPORTE E FIXAÇÃO DO ELETRODUTO</t>
  </si>
  <si>
    <t>103782</t>
  </si>
  <si>
    <t>LUMINÁRIA TIPO PLAFON CIRCULAR, DE SOBREPOR, COM LED DE 12/13 W - FORNECIMENTO E INSTALAÇÃO. AF_03/2022</t>
  </si>
  <si>
    <t>88650</t>
  </si>
  <si>
    <t>RODAPÉ CERÂMICO DE 7CM DE ALTURA COM PLACAS TIPO ESMALTADA EXTRA DE DIMENSÕES 60X60CM. AF_02/2023</t>
  </si>
  <si>
    <t>ED-48343</t>
  </si>
  <si>
    <t>BANCADA EM GRANITO CINZA ANDORINHA E = 3 CM, APOIADA EM CONSOLE DE METALON 20 X 30 MM</t>
  </si>
  <si>
    <t>86935</t>
  </si>
  <si>
    <t>CUBA DE EMBUTIR DE AÇO INOXIDÁVEL MÉDIA, INCLUSO VÁLVULA TIPO AMERICANA EM METAL CROMADO E SIFÃO FLEXÍVEL EM PVC - FORNECIMENTO E INSTALAÇÃO. AF_01/2020</t>
  </si>
  <si>
    <t>86884</t>
  </si>
  <si>
    <t>ENGATE FLEXÍVEL EM PLÁSTICO BRANCO, 1/2 X 30CM - FORNECIMENTO E INSTALAÇÃO. AF_01/2020</t>
  </si>
  <si>
    <t>TORNEIRA CROMADA LONGA, DE PAREDE, 1/2 OU 3/4, PARA PIA DE COZINHA, PADRÃO POPULAR - FORNECIMENTO E INSTALAÇÃO. AF_01/2020</t>
  </si>
  <si>
    <t>86911</t>
  </si>
  <si>
    <t>ED-50221</t>
  </si>
  <si>
    <t>PONTO DE EMBUTIR PARA ÁGUA FRIA EM TUBO DE PVC RÍGIDO SOLDÁVEL, DN 20MM (1/2"), EMBUTIDO NA ALVENARIA COM DISTÂNCIA DE ATÉ CINCO (5) METROS DA TOMADA DE ÁGUA, INCLUSIVE CONEXÕES E FIXAÇÃO DO TUBO COM ENCHIMENTO DO RASGO NA ALVENARIA/CONCRETO COM ARGAMASSA</t>
  </si>
  <si>
    <t>ED-50223</t>
  </si>
  <si>
    <t>LIMPEZA FINAL PARA ENTREGA DA OBRA</t>
  </si>
  <si>
    <t>ED-50266</t>
  </si>
  <si>
    <t>LAJE DE FORRO</t>
  </si>
  <si>
    <t>OBRA: REFORMA E AMPLIAÇÃO DA ESCOLA MUNICIPAL CORONEL JOSÉ OTÁVIO ROSA</t>
  </si>
  <si>
    <t>END.: RUA BARÃO DE CAMANDUCAIA</t>
  </si>
  <si>
    <t>PRAZO DE EXECUÇÃO: 90 DIAS</t>
  </si>
  <si>
    <t>BANHEIROS</t>
  </si>
  <si>
    <t>FUNDAÇÃO E SUPERESTRUTURA</t>
  </si>
  <si>
    <t>PISOS E AZULEJOS</t>
  </si>
  <si>
    <t>87265</t>
  </si>
  <si>
    <t>ED-50976</t>
  </si>
  <si>
    <t>PORTA DE SANITÁRIO COMPLETA, COM BATENTES DE FERRO, ESTRUTURA EM METALON 20 X 30 MM, FOLHA EM CHAPA GALVANIZADA Nº. 18, TRANQUETA E DOBRADIÇAS - 60 X 150 CM</t>
  </si>
  <si>
    <t>U</t>
  </si>
  <si>
    <t>4.3</t>
  </si>
  <si>
    <t>4.4</t>
  </si>
  <si>
    <t>4.5</t>
  </si>
  <si>
    <t>4.6</t>
  </si>
  <si>
    <t>102253</t>
  </si>
  <si>
    <t>DIVISORIA SANITÁRIA, TIPO CABINE, EM GRANITO CINZA POLIDO, ESP = 3CM, ASSENTADO COM ARGAMASSA COLANTE AC III-E, EXCLUSIVE FERRAGENS. AF_01/2021</t>
  </si>
  <si>
    <t>ED-50225</t>
  </si>
  <si>
    <t>102622</t>
  </si>
  <si>
    <t>CAIXA D´ÁGUA EM POLIETILENO, 500 LITROS (INCLUSOS TUBOS, CONEXÕES E TORNEIRA DE BÓIA) - FORNECIMENTO E INSTALAÇÃO. AF_06/2021</t>
  </si>
  <si>
    <t>89355</t>
  </si>
  <si>
    <t>TUBO, PVC, SOLDÁVEL, DN 20MM, INSTALADO EM RAMAL OU SUB-RAMAL DE ÁGUA - FORNECIMENTO E INSTALAÇÃO. AF_06/2022</t>
  </si>
  <si>
    <t>89356</t>
  </si>
  <si>
    <t>TUBO, PVC, SOLDÁVEL, DN 25MM, INSTALADO EM RAMAL OU SUB-RAMAL DE ÁGUA - FORNECIMENTO E INSTALAÇÃO. AF_06/2022</t>
  </si>
  <si>
    <t>LOUÇAS E METAIS</t>
  </si>
  <si>
    <t>ED-50297</t>
  </si>
  <si>
    <t>BACIA SANITÁRIA (VASO) DE LOUÇA COM CAIXA ACOPLADA, COR BRANCA, INCLUSIVE ACESSÓRIOS DE FIXAÇÃO/VEDAÇÃO, ENGATE FLEXÍVEL METÁLICO, FORNECIMENTO, INSTALAÇÃO E REJUNTAMENTO</t>
  </si>
  <si>
    <t>86939</t>
  </si>
  <si>
    <t>LAVATÓRIO LOUÇA BRANCA COM COLUNA, *44 X 35,5* CM, PADRÃO POPULAR, INCLUSO SIFÃO FLEXÍVEL EM PVC, VÁLVULA E ENGATE FLEXÍVEL 30CM EM PLÁSTICO E COM TORNEIRA CROMADA PADRÃO POPULAR - FORNECIMENTO E INSTALAÇÃO. AF_01/2020</t>
  </si>
  <si>
    <t>95547</t>
  </si>
  <si>
    <t>SABONETEIRA PLASTICA TIPO DISPENSER PARA SABONETE LIQUIDO COM RESERVATORIO 800 A 1500 ML, INCLUSO FIXAÇÃO. AF_01/2020</t>
  </si>
  <si>
    <t>95544</t>
  </si>
  <si>
    <t>PAPELEIRA DE PAREDE EM METAL CROMADO SEM TAMPA, INCLUSO FIXAÇÃO. AF_01</t>
  </si>
  <si>
    <t>PONTO DE EMBUTIR PARA UMA (1) TOMADA PADRÃO, TRÊS (3) POLOS (2P+T/10A-250V), COM PLACA 4"X2" DE UM (1) POSTO, COM ELETRODUTO FLEXÍVEL CORRUGADO, ANTI-CHAMA, DN 25MM (3/4"), EMBUTIDO NA ALVENARIA E CABO DE COBRE FLEXÍVEL, CLASSE 5, ISOLAMENTO TIPO LSHF/ATOX, NÃO HALOGENADO, SEÇÃO 2,5MM2 (70°C-450/750V), COM DISTÂNCIA DE ATÉ DEZ (10) METROS DO PONTO DE DERIVAÇÃO, INCLUSIVE CAIXA DE LIGAÇÃO, SUPORTE E FIXAÇÃO DO ELETRODUTO COM ENCHIMENTO DO RASGO NA ALVENARIA/CONCRETO COM ARGAMASSA</t>
  </si>
  <si>
    <t>101890</t>
  </si>
  <si>
    <t>DISJUNTOR MONOPOLAR TIPO NEMA, CORRENTE NOMINAL DE 10 ATÉ 30A - FORNECIMENTO E INSTALAÇÃO. AF_10/2020</t>
  </si>
  <si>
    <t>PINTURA</t>
  </si>
  <si>
    <t>CAIXA SIFONADA EM PVC COM GRELHA REDONDA 100 X 100 X 40 MM</t>
  </si>
  <si>
    <t>paredes + teto</t>
  </si>
  <si>
    <t>TOTAL BANHEIROS</t>
  </si>
  <si>
    <t xml:space="preserve">IMPERMEABILIZAÇÃO COM ARGAMASSA TRAÇO 1:3, E = 2,50 CM COM ADITIVO </t>
  </si>
  <si>
    <t>ENGRADAMENTO PARA TELHAS CERÂMICA OU CONCRETO EM MADEIRA PARAJU</t>
  </si>
  <si>
    <t>COBERTURA EM TELHA CERÂMICA COLONIAL PLANA, 24 UNID/M2</t>
  </si>
  <si>
    <t>ED-50128</t>
  </si>
  <si>
    <t>BARRACÃO DE OBRA PARA DEPÓSITO E FERRAMENTARIA TIPO I, A = 14,52 M2 (OBRA DE PEQUENO PORTE, EFETIVO ATÉ 30 HOMENS), INCLUSIVE MOBILIÁRIO - PADRÃO DER-MG</t>
  </si>
  <si>
    <t>CONCRETAGEM DE BLOCOS DE COROAMENTO E VIGAS BALDRAMES, FCK 30 MPA, COM USO DE BOMBA LANÇAMENTO, ADENSAMENTO E ACABAMENTO. AF_06/2017</t>
  </si>
  <si>
    <t>96557</t>
  </si>
  <si>
    <t>ED-50167</t>
  </si>
  <si>
    <t>ATERRO MANUAL DE VALAS COM SOLO ARGILO-ARENOSO E COMPACTAÇÃO MECANIZADA. AF_05/2016</t>
  </si>
  <si>
    <t>94319</t>
  </si>
  <si>
    <t>ED-50727</t>
  </si>
  <si>
    <t>CHAPISCO COM ARGAMASSA, TRAÇO 1:3 (CIMENTO E AREIA), ESP. 5MM, APLICADO EM ALVENARIA/ESTRUTURA DE CONCRETO COM COLHER, INCLUSIVE ARGAMASSA COM PREPARO MECANIZADO</t>
  </si>
  <si>
    <t>ED-48407</t>
  </si>
  <si>
    <t>ED-48420</t>
  </si>
  <si>
    <t>ED-50998</t>
  </si>
  <si>
    <t>PEITORIL DE GRANITO CINZA ANDORINHA E = 3 CM</t>
  </si>
  <si>
    <t>ED-49498</t>
  </si>
  <si>
    <t>QUADRO DE DISTRIBUIÇÃO PARA 08 MÓDULOS COM BARRAMENTO E CHAVE</t>
  </si>
  <si>
    <t>ED-50732</t>
  </si>
  <si>
    <t>EMBOÇO COM ARGAMASSA, TRAÇO 1:6 (CIMENTO E AREIA), ESP. 20MM, APLICAÇÃO MANUAL, INCLUSIVE ARGAMASSA COM PREPARO MECANIZADO, EXCLUSIVE CHAPISCO</t>
  </si>
  <si>
    <t>REVESTIMENTO CERÂMICO PARA PAREDES INTERNAS COM PLACAS TIPO ESMALTADA EXTRA DE DIMENSÕES 20X20 CM APLICADAS NA ALTURA INTEIRA DAS PAREDES. AF_02/2023_PE</t>
  </si>
  <si>
    <t>ED-50010</t>
  </si>
  <si>
    <t>3.4</t>
  </si>
  <si>
    <t>TOTAL GERAL DA OBRA</t>
  </si>
  <si>
    <t>DATA BASE SINAPI: 07/2023 (DESONERADO) E SETOP: 04/2023 (DESONERADO)</t>
  </si>
  <si>
    <t>ED-9320</t>
  </si>
  <si>
    <t>PISO EM CONCRETO, USINADO CONVENCIONAL, FCK 30MPA, COM TELA SOLDADA NERVURADA TIPO Q-138, ACABAMENTO POLÍDO EM NÍVEL ZERO, ESP. 10CM, INCLUSIVE FORNECIMENTO, LANÇAMENTO, ADENSAMENTO, INCLUSIVE JUNTA DE DILATAÇÃO CORTADA</t>
  </si>
  <si>
    <t>PISO DO PÁTIO</t>
  </si>
  <si>
    <t>94213</t>
  </si>
  <si>
    <t>TELHAMENTO COM TELHA DE AÇO/ALUMÍNIO E = 0,5 MM, COM ATÉ 2 ÁGUAS, INCLUSO IÇAMENTO. AF_07/2019</t>
  </si>
  <si>
    <t>REFEITÓRIO E COZINHA</t>
  </si>
  <si>
    <t>13,80*10,4 = 143,52M2</t>
  </si>
  <si>
    <t>(+)chapisco teto cozinha e refeitório</t>
  </si>
  <si>
    <t xml:space="preserve">PINTURA  </t>
  </si>
  <si>
    <t>ED-50224</t>
  </si>
  <si>
    <t>PONTO DE EMBUTIR PARA ESGOTO EM TUBO PVC RÍGIDO, PB -SÉRIE NORMAL, DN 50MM (2"), EMBUTIDO EM PISO, COM DISTÂNCIA DE ATÉ CINCO (5) METROS DA RAMAL DE ESGOTO, EXCLUSIVE ESCAVAÇÃO, INCLUSIVE CONEXÕES E FIXAÇÃO DO TUBO COM ENCHIMENTO DO RASGO NA ALVENARIA/CONCRETO COM ARGAMASSA</t>
  </si>
  <si>
    <t>TOTAL REFEITÓRIO E COZINHA</t>
  </si>
  <si>
    <t>LIMPEZA GERAL</t>
  </si>
  <si>
    <t>4.7</t>
  </si>
  <si>
    <t>4.8</t>
  </si>
  <si>
    <t>DEMOLIÇÃO MANUAL DE ALVENARIA DE TIJOLO CERÂMICO OU BLOCO DE CONCRETO, INCLUSIVE AFASTAMENTO E EMPILHAMENTO, EXCLUSIVE TRANSPORTE E RETIRADA DO MATERIAL DEMOLIDO</t>
  </si>
  <si>
    <t>ED-48435</t>
  </si>
  <si>
    <t>FORNECIMENTO DE ESTRUTURA METÁLICA E ENGRADAMENTO METÁLICO PARA TELHADO EM ARCO DE QUADRA POLIESPORTIVA EM AÇO PATINÁVEL, COBERTURA EM ARCO PADRÃO DA QUADRA
ESCOLAR, EXCLUSIVE TELHA, INCLUSIVE PILAR METÁLICO,
FABRICAÇÃO, TRANSPORTE E MONTAGEM</t>
  </si>
  <si>
    <t>ED-20572</t>
  </si>
  <si>
    <t>PORTA DE VIDRO TEMPERADO DE 10MM, INCLUSIVE ACESSÓRIOS E INSTALAÇÃO (JATEADO)</t>
  </si>
  <si>
    <t>ALVENARIA DE VEDAÇÃO DE BLOCOS VAZADOS DE CONCRETO DE 14X19X39 CM (ESPESSURA 14 CM) E ARGAMASSA DE ASSENTAMENTO COM PREPARO EM BETONEIRA. AF_12/2021 (EITÃO)</t>
  </si>
  <si>
    <t>ED-48514</t>
  </si>
  <si>
    <t>REMOÇÃO MANUAL DE TELHA CERÂMICA, COM
REAPROVEITAMENTO, INCLUSIVE AFASTAMENTO E
EMPILHAMENTO, EXCLUSIVE TRANSPORTE E RETIRADA DO MATERIAL REMOVIDO NÃO REAPROVEITÁVEL</t>
  </si>
  <si>
    <t>3.5</t>
  </si>
  <si>
    <t>ED-50955</t>
  </si>
  <si>
    <t>FORNECIMENTO E ASSENTAMENTO DE JANELA DE CORRER EM FERRO</t>
  </si>
  <si>
    <t>ED-51156</t>
  </si>
  <si>
    <t>VIDRO COMUM TRANSPARENTE INCOLOR, ESP. 4MM, INCLUSIVE FIXAÇÃO E VEDAÇÃO COM GUARNIÇÃO/GAXETA DE BORRACHA NEOPRENE, FORNECIMENTO E INSTALAÇÃO, EXCLUSIVE CAIXILHO/PERFIL</t>
  </si>
  <si>
    <t xml:space="preserve">VB </t>
  </si>
  <si>
    <t>m</t>
  </si>
  <si>
    <t>reboco externo + teto</t>
  </si>
  <si>
    <t>CHUVEIRO ELÉTRICO COMUM CORPO PLÁSTICO, TIPO DUCHA FORNECIMENTO E INSTALAÇÃO. AF_01/2020</t>
  </si>
  <si>
    <t>100860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</si>
  <si>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</si>
  <si>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</si>
  <si>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</si>
  <si>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</si>
  <si>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</si>
  <si>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</si>
  <si>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</si>
  <si>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</si>
  <si>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</si>
  <si>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</si>
  <si>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</si>
  <si>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3.2.1</t>
  </si>
  <si>
    <t>3.2.2</t>
  </si>
  <si>
    <t>3.3.1</t>
  </si>
  <si>
    <t>3.3.2</t>
  </si>
  <si>
    <t>3.3.3</t>
  </si>
  <si>
    <t>3.3.4</t>
  </si>
  <si>
    <t>3.4.1</t>
  </si>
  <si>
    <t>3.4.2</t>
  </si>
  <si>
    <t>3.4.3</t>
  </si>
  <si>
    <t>3.4.4</t>
  </si>
  <si>
    <t>3.4.5</t>
  </si>
  <si>
    <t>3.4.6</t>
  </si>
  <si>
    <t>3.4.7</t>
  </si>
  <si>
    <t>3.4.8</t>
  </si>
  <si>
    <t>3.5.1</t>
  </si>
  <si>
    <t>3.5.2</t>
  </si>
  <si>
    <t>3.5.3</t>
  </si>
  <si>
    <t>3.5.4</t>
  </si>
  <si>
    <t>3.5.5</t>
  </si>
  <si>
    <t>3.5.6</t>
  </si>
  <si>
    <t>3.5.7</t>
  </si>
  <si>
    <t>3.6</t>
  </si>
  <si>
    <t>3.6.1</t>
  </si>
  <si>
    <t>3.6.2</t>
  </si>
  <si>
    <t>3.6.3</t>
  </si>
  <si>
    <t>3.6.4</t>
  </si>
  <si>
    <t>3.6.5</t>
  </si>
  <si>
    <t>3.7</t>
  </si>
  <si>
    <t>3.7.1</t>
  </si>
  <si>
    <t>3.7.2</t>
  </si>
  <si>
    <t>3.7.3</t>
  </si>
  <si>
    <t>3.7.4</t>
  </si>
  <si>
    <t>3.7.5</t>
  </si>
  <si>
    <t>3.7.6</t>
  </si>
  <si>
    <t>3.7.7</t>
  </si>
  <si>
    <t>3.7.8</t>
  </si>
  <si>
    <t>3.8</t>
  </si>
  <si>
    <t>3.8.1</t>
  </si>
  <si>
    <t>3.8.2</t>
  </si>
  <si>
    <t>3.8.3</t>
  </si>
  <si>
    <t>3.8.4</t>
  </si>
  <si>
    <t>3.9</t>
  </si>
  <si>
    <t>3.9.1</t>
  </si>
  <si>
    <t>3.9.2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</si>
  <si>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</si>
  <si>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</si>
  <si>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</si>
  <si>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</si>
  <si>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</si>
  <si>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</si>
  <si>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</si>
  <si>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</si>
  <si>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</si>
  <si>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</si>
  <si>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</si>
  <si>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4.2.1</t>
  </si>
  <si>
    <t>4.2.2</t>
  </si>
  <si>
    <t>4.3.1</t>
  </si>
  <si>
    <t>4.3.2</t>
  </si>
  <si>
    <t>4.3.3</t>
  </si>
  <si>
    <t>4.3.4</t>
  </si>
  <si>
    <t>4.4.1</t>
  </si>
  <si>
    <t>4.4.2</t>
  </si>
  <si>
    <t>4.4.3</t>
  </si>
  <si>
    <t>4.4.4</t>
  </si>
  <si>
    <t>4.4.5</t>
  </si>
  <si>
    <t>4.4.6</t>
  </si>
  <si>
    <t>4.4.7</t>
  </si>
  <si>
    <t>4.4.8</t>
  </si>
  <si>
    <t>4.4.9</t>
  </si>
  <si>
    <t>4.4.10</t>
  </si>
  <si>
    <t>4.5.1</t>
  </si>
  <si>
    <t>4.5.2</t>
  </si>
  <si>
    <t>4.5.3</t>
  </si>
  <si>
    <t>4.5.4</t>
  </si>
  <si>
    <t>4.5.5</t>
  </si>
  <si>
    <t>4.5.6</t>
  </si>
  <si>
    <t>4.5.7</t>
  </si>
  <si>
    <t>4.6.1</t>
  </si>
  <si>
    <t>4.6.2</t>
  </si>
  <si>
    <t>4.6.3</t>
  </si>
  <si>
    <t>4.6.4</t>
  </si>
  <si>
    <t>4.7.1</t>
  </si>
  <si>
    <t>4.7.2</t>
  </si>
  <si>
    <t>4.7.3</t>
  </si>
  <si>
    <t>4.7.4</t>
  </si>
  <si>
    <t>4.7.5</t>
  </si>
  <si>
    <t>4.7.6</t>
  </si>
  <si>
    <t>4.7.7</t>
  </si>
  <si>
    <t>4.7.8</t>
  </si>
  <si>
    <t>4.7.9</t>
  </si>
  <si>
    <t>4.8.1</t>
  </si>
  <si>
    <t>4.8.2</t>
  </si>
  <si>
    <t>DATA: 06/09/2023</t>
  </si>
  <si>
    <t>REVESTIMENTO CERÂMICO PARA PISO COM PLACAS TIPO ESMALTADA EXTRA DE DIMENSÕES 45X45 CM APLICADA EM AMBIENTES DE ÁREA ENTRE 5 M2 E 10 M2. AF_02/2023_PE</t>
  </si>
  <si>
    <t>87250</t>
  </si>
  <si>
    <t>PONTO DE EMBUTIR PARA ESGOTO EM TUBO PVC RÍGIDO, PB -SÉRIE NORMAL, DN 40MM (1.1/2"), EMBUTIDO NA ALVENARIA/PISO, COM ALTURA (SAÍDA) DE 50CM DO PISO, COM DISTÂNCIA DE ATÉ CINCO (5) METROS DA RAMAL DE ESGOTO, EXCLUSIVE ESCAVAÇÃO, INCLUSIVE CONEXÕES E FIXAÇÃO DO TUBO COM ENCHIMENTO DO RASGO NA ALVENARIA/CONCRETO COM ARGAMASSA</t>
  </si>
  <si>
    <t>PONTO DE EMBUTIR PARA ESGOTO EM TUBO PVC RÍGIDO, PBV - SÉRIE NORMAL, DN 100MM (4"), EMBUTIDO EM PISO COM DISTÂNCIA DE ATÉ CINCO (5) METROS DA RAMAL DE ESGOTO, INCLUSIVE CONEXÕES E FIXAÇÃO DO TUBO COM ENCHIMENTO DO RASGO NO CONCRETO COM ARGAMASSA</t>
  </si>
  <si>
    <t>PONTO DE EMBUTIR PARA UM (1) INTERRUPTOR SIMPLES (10A- 250V), COM PLACA 4"X2" DE UM (1) POSTO, COM ELETRODUTO FLEXÍVEL CORRUGADO, ANTI-CHAMA, DN 25MM (3/4"), EMBUTIDO NA ALVENARIA E CABO DE COBRE FLEXÍVEL, CLASSE 5, ISOLAMENTO TIPO LSHF/ATOX, NÃO HALOGENADO, SEÇÃO 1,5MM2 (70°C-450/750V), COM DISTÂNCIA DE ATÉ DEZ (10) METROS DO PONTO DE DERIVAÇÃO, INCLUSIVE CAIXA DE LIGAÇÃO, SUPORTE E FIXAÇÃO DO ELETRODUTO COM ENCHIMENTO DO RASGO NA ALVENARIA/CONCRETO COM ARGAMASSA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</si>
</sst>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sz val="11"/>
      <color rgb="FFFF0000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76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0" fillId="0" borderId="0" xfId="0"/>
    <xf numFmtId="0" fontId="0" fillId="0" borderId="0" xfId="0" applyBorder="1"/>
    <xf numFmtId="0" fontId="0" fillId="0" borderId="0" xfId="0" applyFont="1" applyFill="1" applyBorder="1"/>
    <xf numFmtId="0" fontId="0" fillId="0" borderId="0" xfId="0" applyFont="1"/>
    <xf numFmtId="0" fontId="0" fillId="0" borderId="0" xfId="0" applyFont="1" applyAlignment="1"/>
    <xf numFmtId="43" fontId="0" fillId="0" borderId="0" xfId="0" applyNumberFormat="1"/>
    <xf numFmtId="3" fontId="5" fillId="0" borderId="0" xfId="0" applyNumberFormat="1" applyFont="1" applyBorder="1"/>
    <xf numFmtId="0" fontId="5" fillId="0" borderId="0" xfId="0" applyFont="1" applyBorder="1"/>
    <xf numFmtId="0" fontId="6" fillId="0" borderId="1" xfId="0" applyFont="1" applyBorder="1" applyAlignment="1">
      <alignment horizontal="right" vertical="center"/>
    </xf>
    <xf numFmtId="10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41" fontId="8" fillId="0" borderId="2" xfId="0" applyNumberFormat="1" applyFont="1" applyBorder="1" applyAlignment="1">
      <alignment horizontal="left" vertical="center"/>
    </xf>
    <xf numFmtId="164" fontId="9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43" fontId="8" fillId="0" borderId="7" xfId="0" applyNumberFormat="1" applyFont="1" applyBorder="1" applyAlignment="1">
      <alignment horizontal="right" vertical="center"/>
    </xf>
    <xf numFmtId="0" fontId="10" fillId="2" borderId="5" xfId="0" applyFont="1" applyFill="1" applyBorder="1" applyAlignment="1" applyProtection="1">
      <alignment horizontal="center" vertical="center" wrapText="1"/>
    </xf>
    <xf numFmtId="49" fontId="10" fillId="2" borderId="9" xfId="0" applyNumberFormat="1" applyFont="1" applyFill="1" applyBorder="1" applyAlignment="1" applyProtection="1">
      <alignment horizontal="center" vertical="center" wrapText="1"/>
    </xf>
    <xf numFmtId="41" fontId="10" fillId="0" borderId="5" xfId="0" applyNumberFormat="1" applyFont="1" applyFill="1" applyBorder="1" applyAlignment="1" applyProtection="1">
      <alignment horizontal="center" vertical="center"/>
    </xf>
    <xf numFmtId="43" fontId="10" fillId="0" borderId="5" xfId="8" applyFont="1" applyFill="1" applyBorder="1" applyAlignment="1" applyProtection="1">
      <alignment horizontal="right" vertical="center"/>
    </xf>
    <xf numFmtId="43" fontId="10" fillId="0" borderId="10" xfId="8" applyFont="1" applyFill="1" applyBorder="1" applyAlignment="1" applyProtection="1">
      <alignment horizontal="right" vertical="center"/>
    </xf>
    <xf numFmtId="0" fontId="10" fillId="0" borderId="5" xfId="0" applyNumberFormat="1" applyFont="1" applyFill="1" applyBorder="1" applyAlignment="1" applyProtection="1">
      <alignment horizontal="left" vertical="center" wrapText="1"/>
    </xf>
    <xf numFmtId="43" fontId="10" fillId="2" borderId="6" xfId="8" applyFont="1" applyFill="1" applyBorder="1" applyAlignment="1" applyProtection="1">
      <alignment horizontal="right" vertical="center" wrapText="1"/>
      <protection locked="0"/>
    </xf>
    <xf numFmtId="43" fontId="10" fillId="0" borderId="4" xfId="8" applyFont="1" applyFill="1" applyBorder="1" applyAlignment="1" applyProtection="1">
      <alignment horizontal="right" vertical="center"/>
    </xf>
    <xf numFmtId="43" fontId="10" fillId="0" borderId="6" xfId="8" applyFont="1" applyBorder="1" applyAlignment="1">
      <alignment horizontal="right" vertical="center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49" fontId="10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6" xfId="0" applyNumberFormat="1" applyFont="1" applyFill="1" applyBorder="1" applyAlignment="1" applyProtection="1">
      <alignment horizontal="left" vertical="center" wrapText="1"/>
    </xf>
    <xf numFmtId="41" fontId="10" fillId="0" borderId="6" xfId="0" applyNumberFormat="1" applyFont="1" applyFill="1" applyBorder="1" applyAlignment="1" applyProtection="1">
      <alignment horizontal="center" vertical="center"/>
    </xf>
    <xf numFmtId="43" fontId="10" fillId="0" borderId="6" xfId="8" applyFont="1" applyFill="1" applyBorder="1" applyAlignment="1" applyProtection="1">
      <alignment horizontal="right" vertical="center"/>
    </xf>
    <xf numFmtId="2" fontId="10" fillId="0" borderId="13" xfId="0" applyNumberFormat="1" applyFont="1" applyFill="1" applyBorder="1" applyAlignment="1" applyProtection="1">
      <alignment horizontal="left" vertical="center" wrapText="1"/>
    </xf>
    <xf numFmtId="0" fontId="10" fillId="2" borderId="14" xfId="0" applyFont="1" applyFill="1" applyBorder="1" applyAlignment="1" applyProtection="1">
      <alignment horizontal="center" vertical="center" wrapText="1"/>
    </xf>
    <xf numFmtId="43" fontId="11" fillId="2" borderId="6" xfId="8" applyFont="1" applyFill="1" applyBorder="1" applyAlignment="1" applyProtection="1">
      <alignment horizontal="right" vertical="center" wrapText="1"/>
      <protection locked="0"/>
    </xf>
    <xf numFmtId="43" fontId="11" fillId="2" borderId="5" xfId="8" applyFont="1" applyFill="1" applyBorder="1" applyAlignment="1" applyProtection="1">
      <alignment horizontal="right" vertical="center" wrapText="1"/>
      <protection locked="0"/>
    </xf>
    <xf numFmtId="43" fontId="10" fillId="0" borderId="5" xfId="8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Border="1"/>
    <xf numFmtId="3" fontId="6" fillId="0" borderId="0" xfId="0" applyNumberFormat="1" applyFont="1" applyBorder="1"/>
    <xf numFmtId="43" fontId="10" fillId="0" borderId="0" xfId="8" applyFont="1" applyFill="1" applyBorder="1" applyAlignment="1">
      <alignment horizontal="right" vertical="center"/>
    </xf>
    <xf numFmtId="43" fontId="11" fillId="0" borderId="0" xfId="8" applyFont="1" applyFill="1" applyBorder="1" applyAlignment="1">
      <alignment horizontal="left" vertical="center"/>
    </xf>
    <xf numFmtId="43" fontId="12" fillId="0" borderId="0" xfId="8" applyFont="1" applyFill="1" applyBorder="1" applyAlignment="1">
      <alignment horizontal="right" vertical="center"/>
    </xf>
    <xf numFmtId="0" fontId="10" fillId="2" borderId="14" xfId="0" applyFont="1" applyFill="1" applyBorder="1" applyAlignment="1" applyProtection="1">
      <alignment horizontal="center" vertical="center" wrapText="1"/>
      <protection locked="0"/>
    </xf>
    <xf numFmtId="49" fontId="10" fillId="2" borderId="14" xfId="0" applyNumberFormat="1" applyFont="1" applyFill="1" applyBorder="1" applyAlignment="1" applyProtection="1">
      <alignment horizontal="center" vertical="center" wrapText="1"/>
      <protection locked="0"/>
    </xf>
    <xf numFmtId="41" fontId="10" fillId="0" borderId="14" xfId="0" applyNumberFormat="1" applyFont="1" applyFill="1" applyBorder="1" applyAlignment="1" applyProtection="1">
      <alignment horizontal="center" vertical="center"/>
    </xf>
    <xf numFmtId="43" fontId="10" fillId="0" borderId="14" xfId="8" applyFont="1" applyFill="1" applyBorder="1" applyAlignment="1" applyProtection="1">
      <alignment horizontal="right" vertical="center"/>
    </xf>
    <xf numFmtId="43" fontId="10" fillId="2" borderId="14" xfId="8" applyFont="1" applyFill="1" applyBorder="1" applyAlignment="1" applyProtection="1">
      <alignment horizontal="right" vertical="center" wrapText="1"/>
      <protection locked="0"/>
    </xf>
    <xf numFmtId="43" fontId="10" fillId="0" borderId="11" xfId="8" applyFont="1" applyFill="1" applyBorder="1" applyAlignment="1" applyProtection="1">
      <alignment horizontal="right" vertical="center"/>
    </xf>
    <xf numFmtId="43" fontId="10" fillId="0" borderId="14" xfId="8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2" fontId="10" fillId="0" borderId="12" xfId="0" applyNumberFormat="1" applyFont="1" applyFill="1" applyBorder="1" applyAlignment="1" applyProtection="1">
      <alignment horizontal="left" vertical="center" wrapText="1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49" fontId="10" fillId="2" borderId="20" xfId="0" applyNumberFormat="1" applyFont="1" applyFill="1" applyBorder="1" applyAlignment="1" applyProtection="1">
      <alignment horizontal="center" vertical="center" wrapText="1"/>
      <protection locked="0"/>
    </xf>
    <xf numFmtId="41" fontId="10" fillId="0" borderId="21" xfId="0" applyNumberFormat="1" applyFont="1" applyFill="1" applyBorder="1" applyAlignment="1" applyProtection="1">
      <alignment horizontal="center" vertical="center"/>
    </xf>
    <xf numFmtId="43" fontId="10" fillId="0" borderId="21" xfId="8" applyFont="1" applyFill="1" applyBorder="1" applyAlignment="1" applyProtection="1">
      <alignment horizontal="right" vertical="center"/>
    </xf>
    <xf numFmtId="43" fontId="10" fillId="2" borderId="21" xfId="8" applyFont="1" applyFill="1" applyBorder="1" applyAlignment="1" applyProtection="1">
      <alignment horizontal="right" vertical="center" wrapText="1"/>
      <protection locked="0"/>
    </xf>
    <xf numFmtId="43" fontId="10" fillId="0" borderId="22" xfId="8" applyFont="1" applyFill="1" applyBorder="1" applyAlignment="1" applyProtection="1">
      <alignment horizontal="right" vertical="center"/>
    </xf>
    <xf numFmtId="43" fontId="10" fillId="0" borderId="21" xfId="8" applyFont="1" applyBorder="1" applyAlignment="1">
      <alignment horizontal="right" vertical="center"/>
    </xf>
    <xf numFmtId="49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0" xfId="0" applyNumberFormat="1" applyFont="1" applyFill="1" applyBorder="1" applyAlignment="1" applyProtection="1">
      <alignment horizontal="left" vertical="center" wrapText="1"/>
    </xf>
    <xf numFmtId="43" fontId="10" fillId="2" borderId="5" xfId="8" applyFont="1" applyFill="1" applyBorder="1" applyAlignment="1" applyProtection="1">
      <alignment horizontal="righ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49" fontId="10" fillId="2" borderId="7" xfId="0" applyNumberFormat="1" applyFont="1" applyFill="1" applyBorder="1" applyAlignment="1" applyProtection="1">
      <alignment horizontal="center" vertical="center" wrapText="1"/>
    </xf>
    <xf numFmtId="166" fontId="8" fillId="0" borderId="1" xfId="0" applyNumberFormat="1" applyFont="1" applyFill="1" applyBorder="1" applyAlignment="1" applyProtection="1">
      <alignment horizontal="left" vertical="center" wrapText="1"/>
    </xf>
    <xf numFmtId="41" fontId="10" fillId="0" borderId="1" xfId="0" applyNumberFormat="1" applyFont="1" applyFill="1" applyBorder="1" applyAlignment="1" applyProtection="1">
      <alignment horizontal="center" vertical="center"/>
    </xf>
    <xf numFmtId="43" fontId="10" fillId="0" borderId="1" xfId="8" applyFont="1" applyFill="1" applyBorder="1" applyAlignment="1" applyProtection="1">
      <alignment horizontal="right" vertical="center"/>
    </xf>
    <xf numFmtId="43" fontId="10" fillId="2" borderId="1" xfId="8" applyFont="1" applyFill="1" applyBorder="1" applyAlignment="1" applyProtection="1">
      <alignment horizontal="right" vertical="center" wrapText="1"/>
      <protection locked="0"/>
    </xf>
    <xf numFmtId="43" fontId="10" fillId="0" borderId="3" xfId="8" applyFont="1" applyFill="1" applyBorder="1" applyAlignment="1" applyProtection="1">
      <alignment horizontal="right" vertical="center"/>
    </xf>
    <xf numFmtId="43" fontId="8" fillId="0" borderId="1" xfId="8" applyFont="1" applyBorder="1" applyAlignment="1">
      <alignment horizontal="right" vertical="center"/>
    </xf>
    <xf numFmtId="2" fontId="10" fillId="0" borderId="21" xfId="0" applyNumberFormat="1" applyFont="1" applyFill="1" applyBorder="1" applyAlignment="1" applyProtection="1">
      <alignment horizontal="left" vertical="center" wrapText="1"/>
    </xf>
    <xf numFmtId="43" fontId="11" fillId="2" borderId="21" xfId="8" applyFont="1" applyFill="1" applyBorder="1" applyAlignment="1" applyProtection="1">
      <alignment horizontal="right" vertical="center" wrapText="1"/>
      <protection locked="0"/>
    </xf>
    <xf numFmtId="49" fontId="10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5" xfId="0" applyNumberFormat="1" applyFont="1" applyFill="1" applyBorder="1" applyAlignment="1" applyProtection="1">
      <alignment horizontal="left" vertical="center" wrapText="1"/>
    </xf>
    <xf numFmtId="2" fontId="10" fillId="0" borderId="5" xfId="0" applyNumberFormat="1" applyFont="1" applyFill="1" applyBorder="1" applyAlignment="1" applyProtection="1">
      <alignment horizontal="left" vertical="center" wrapText="1"/>
    </xf>
    <xf numFmtId="41" fontId="10" fillId="0" borderId="19" xfId="0" applyNumberFormat="1" applyFont="1" applyFill="1" applyBorder="1" applyAlignment="1" applyProtection="1">
      <alignment horizontal="center" vertical="center"/>
    </xf>
    <xf numFmtId="43" fontId="10" fillId="0" borderId="19" xfId="8" applyFont="1" applyFill="1" applyBorder="1" applyAlignment="1" applyProtection="1">
      <alignment horizontal="right" vertical="center"/>
    </xf>
    <xf numFmtId="43" fontId="10" fillId="2" borderId="1" xfId="8" applyFont="1" applyFill="1" applyBorder="1" applyAlignment="1" applyProtection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43" fontId="10" fillId="0" borderId="0" xfId="8" applyFont="1" applyFill="1" applyBorder="1" applyAlignment="1">
      <alignment horizontal="center" vertical="center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49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2" xfId="0" applyNumberFormat="1" applyFont="1" applyFill="1" applyBorder="1" applyAlignment="1" applyProtection="1">
      <alignment horizontal="left" vertical="center" wrapText="1"/>
    </xf>
    <xf numFmtId="49" fontId="10" fillId="2" borderId="17" xfId="0" applyNumberFormat="1" applyFont="1" applyFill="1" applyBorder="1" applyAlignment="1" applyProtection="1">
      <alignment horizontal="center" vertical="center" wrapText="1"/>
      <protection locked="0"/>
    </xf>
    <xf numFmtId="43" fontId="10" fillId="2" borderId="19" xfId="8" applyFont="1" applyFill="1" applyBorder="1" applyAlignment="1" applyProtection="1">
      <alignment horizontal="right" vertical="center" wrapText="1"/>
      <protection locked="0"/>
    </xf>
    <xf numFmtId="43" fontId="10" fillId="0" borderId="23" xfId="8" applyFont="1" applyFill="1" applyBorder="1" applyAlignment="1" applyProtection="1">
      <alignment horizontal="right" vertical="center"/>
    </xf>
    <xf numFmtId="43" fontId="10" fillId="0" borderId="19" xfId="8" applyFont="1" applyBorder="1" applyAlignment="1">
      <alignment horizontal="right" vertical="center"/>
    </xf>
    <xf numFmtId="43" fontId="11" fillId="0" borderId="0" xfId="8" applyFont="1" applyFill="1" applyBorder="1" applyAlignment="1">
      <alignment horizontal="right" vertical="center"/>
    </xf>
    <xf numFmtId="43" fontId="11" fillId="2" borderId="0" xfId="8" applyFont="1" applyFill="1" applyBorder="1" applyAlignment="1">
      <alignment horizontal="left" vertical="center"/>
    </xf>
    <xf numFmtId="43" fontId="8" fillId="0" borderId="17" xfId="8" applyFont="1" applyBorder="1" applyAlignment="1">
      <alignment horizontal="right" vertical="center"/>
    </xf>
    <xf numFmtId="0" fontId="8" fillId="2" borderId="16" xfId="0" applyFont="1" applyFill="1" applyBorder="1" applyAlignment="1" applyProtection="1">
      <alignment vertical="center" wrapText="1"/>
    </xf>
    <xf numFmtId="0" fontId="8" fillId="2" borderId="18" xfId="0" applyFont="1" applyFill="1" applyBorder="1" applyAlignment="1" applyProtection="1">
      <alignment vertical="center" wrapText="1"/>
    </xf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43" fontId="10" fillId="0" borderId="0" xfId="8" applyFont="1" applyFill="1" applyBorder="1" applyAlignment="1">
      <alignment horizontal="left" vertical="center"/>
    </xf>
    <xf numFmtId="0" fontId="13" fillId="0" borderId="0" xfId="0" applyFont="1"/>
    <xf numFmtId="2" fontId="10" fillId="2" borderId="0" xfId="0" applyNumberFormat="1" applyFont="1" applyFill="1" applyBorder="1" applyAlignment="1" applyProtection="1">
      <alignment horizontal="center" vertical="center" wrapText="1"/>
    </xf>
    <xf numFmtId="49" fontId="11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/>
    </xf>
    <xf numFmtId="2" fontId="10" fillId="2" borderId="6" xfId="0" applyNumberFormat="1" applyFont="1" applyFill="1" applyBorder="1" applyAlignment="1" applyProtection="1">
      <alignment horizontal="left" vertical="center" wrapText="1"/>
    </xf>
    <xf numFmtId="41" fontId="10" fillId="2" borderId="6" xfId="0" applyNumberFormat="1" applyFont="1" applyFill="1" applyBorder="1" applyAlignment="1" applyProtection="1">
      <alignment horizontal="center" vertical="center"/>
    </xf>
    <xf numFmtId="43" fontId="10" fillId="2" borderId="6" xfId="8" applyFont="1" applyFill="1" applyBorder="1" applyAlignment="1" applyProtection="1">
      <alignment horizontal="right" vertical="center"/>
    </xf>
    <xf numFmtId="0" fontId="8" fillId="0" borderId="6" xfId="0" applyFont="1" applyFill="1" applyBorder="1" applyAlignment="1" applyProtection="1">
      <alignment horizontal="center" vertical="center"/>
    </xf>
    <xf numFmtId="2" fontId="8" fillId="2" borderId="6" xfId="0" applyNumberFormat="1" applyFont="1" applyFill="1" applyBorder="1" applyAlignment="1" applyProtection="1">
      <alignment horizontal="left" vertical="center" wrapText="1"/>
    </xf>
    <xf numFmtId="43" fontId="8" fillId="0" borderId="6" xfId="8" applyFont="1" applyBorder="1" applyAlignment="1">
      <alignment horizontal="right" vertical="center"/>
    </xf>
    <xf numFmtId="0" fontId="10" fillId="0" borderId="6" xfId="0" applyFont="1" applyFill="1" applyBorder="1" applyAlignment="1" applyProtection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4" fillId="0" borderId="6" xfId="0" applyFont="1" applyFill="1" applyBorder="1" applyAlignment="1" applyProtection="1">
      <alignment horizontal="center" vertical="center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2" fontId="14" fillId="2" borderId="6" xfId="0" applyNumberFormat="1" applyFont="1" applyFill="1" applyBorder="1" applyAlignment="1" applyProtection="1">
      <alignment horizontal="left" vertical="center" wrapText="1"/>
    </xf>
    <xf numFmtId="41" fontId="11" fillId="2" borderId="6" xfId="0" applyNumberFormat="1" applyFont="1" applyFill="1" applyBorder="1" applyAlignment="1" applyProtection="1">
      <alignment horizontal="center" vertical="center"/>
    </xf>
    <xf numFmtId="43" fontId="11" fillId="2" borderId="6" xfId="8" applyFont="1" applyFill="1" applyBorder="1" applyAlignment="1" applyProtection="1">
      <alignment horizontal="right" vertical="center"/>
    </xf>
    <xf numFmtId="43" fontId="11" fillId="0" borderId="4" xfId="8" applyFont="1" applyFill="1" applyBorder="1" applyAlignment="1" applyProtection="1">
      <alignment horizontal="right" vertical="center"/>
    </xf>
    <xf numFmtId="43" fontId="14" fillId="0" borderId="6" xfId="8" applyFont="1" applyBorder="1" applyAlignment="1">
      <alignment horizontal="right" vertical="center"/>
    </xf>
    <xf numFmtId="43" fontId="15" fillId="0" borderId="7" xfId="0" applyNumberFormat="1" applyFont="1" applyBorder="1"/>
    <xf numFmtId="43" fontId="11" fillId="0" borderId="6" xfId="8" applyFont="1" applyFill="1" applyBorder="1" applyAlignment="1" applyProtection="1">
      <alignment horizontal="right" vertical="center"/>
    </xf>
    <xf numFmtId="0" fontId="8" fillId="2" borderId="15" xfId="0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 wrapText="1"/>
    </xf>
    <xf numFmtId="43" fontId="8" fillId="0" borderId="18" xfId="8" applyFont="1" applyBorder="1" applyAlignment="1">
      <alignment horizontal="right" vertical="center"/>
    </xf>
    <xf numFmtId="0" fontId="8" fillId="2" borderId="15" xfId="0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 wrapText="1"/>
    </xf>
    <xf numFmtId="43" fontId="11" fillId="2" borderId="0" xfId="8" applyFont="1" applyFill="1" applyBorder="1" applyAlignment="1">
      <alignment horizontal="center" vertical="center"/>
    </xf>
    <xf numFmtId="0" fontId="8" fillId="2" borderId="15" xfId="0" applyFont="1" applyFill="1" applyBorder="1" applyAlignment="1" applyProtection="1">
      <alignment horizontal="center" vertical="center" wrapText="1"/>
    </xf>
    <xf numFmtId="0" fontId="11" fillId="2" borderId="5" xfId="0" applyFont="1" applyFill="1" applyBorder="1" applyAlignment="1" applyProtection="1">
      <alignment horizontal="center" vertical="center" wrapText="1"/>
    </xf>
    <xf numFmtId="49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0" xfId="0" applyNumberFormat="1" applyFont="1" applyFill="1" applyBorder="1" applyAlignment="1" applyProtection="1">
      <alignment horizontal="left" vertical="center" wrapText="1"/>
    </xf>
    <xf numFmtId="41" fontId="11" fillId="0" borderId="5" xfId="0" applyNumberFormat="1" applyFont="1" applyFill="1" applyBorder="1" applyAlignment="1" applyProtection="1">
      <alignment horizontal="center" vertical="center"/>
    </xf>
    <xf numFmtId="43" fontId="11" fillId="0" borderId="5" xfId="8" applyFont="1" applyFill="1" applyBorder="1" applyAlignment="1" applyProtection="1">
      <alignment horizontal="right" vertical="center"/>
    </xf>
    <xf numFmtId="43" fontId="11" fillId="0" borderId="10" xfId="8" applyFont="1" applyFill="1" applyBorder="1" applyAlignment="1" applyProtection="1">
      <alignment horizontal="right" vertical="center"/>
    </xf>
    <xf numFmtId="43" fontId="11" fillId="0" borderId="5" xfId="8" applyFont="1" applyBorder="1" applyAlignment="1">
      <alignment horizontal="right" vertical="center"/>
    </xf>
    <xf numFmtId="43" fontId="8" fillId="0" borderId="7" xfId="8" applyFont="1" applyBorder="1" applyAlignment="1">
      <alignment horizontal="right" vertical="center"/>
    </xf>
    <xf numFmtId="49" fontId="10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10" fillId="2" borderId="14" xfId="0" applyNumberFormat="1" applyFont="1" applyFill="1" applyBorder="1" applyAlignment="1" applyProtection="1">
      <alignment horizontal="left" vertical="center" wrapText="1"/>
    </xf>
    <xf numFmtId="41" fontId="10" fillId="2" borderId="14" xfId="0" applyNumberFormat="1" applyFont="1" applyFill="1" applyBorder="1" applyAlignment="1" applyProtection="1">
      <alignment horizontal="center" vertical="center"/>
    </xf>
    <xf numFmtId="43" fontId="10" fillId="2" borderId="14" xfId="8" applyFont="1" applyFill="1" applyBorder="1" applyAlignment="1" applyProtection="1">
      <alignment horizontal="right" vertical="center"/>
    </xf>
    <xf numFmtId="0" fontId="11" fillId="2" borderId="19" xfId="0" applyFont="1" applyFill="1" applyBorder="1" applyAlignment="1" applyProtection="1">
      <alignment horizontal="center" vertical="center" wrapText="1"/>
      <protection locked="0"/>
    </xf>
    <xf numFmtId="2" fontId="11" fillId="0" borderId="21" xfId="0" applyNumberFormat="1" applyFont="1" applyFill="1" applyBorder="1" applyAlignment="1" applyProtection="1">
      <alignment horizontal="left" vertical="center" wrapText="1"/>
    </xf>
    <xf numFmtId="4" fontId="6" fillId="0" borderId="0" xfId="0" applyNumberFormat="1" applyFont="1" applyBorder="1"/>
    <xf numFmtId="43" fontId="11" fillId="0" borderId="0" xfId="8" applyFont="1" applyFill="1" applyBorder="1" applyAlignment="1">
      <alignment horizontal="right" vertical="center" wrapText="1"/>
    </xf>
    <xf numFmtId="2" fontId="16" fillId="0" borderId="0" xfId="0" applyNumberFormat="1" applyFont="1"/>
    <xf numFmtId="0" fontId="8" fillId="0" borderId="3" xfId="0" applyFont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left" vertical="center" wrapText="1"/>
    </xf>
    <xf numFmtId="43" fontId="10" fillId="0" borderId="1" xfId="8" applyFont="1" applyBorder="1" applyAlignment="1">
      <alignment horizontal="right" vertical="center"/>
    </xf>
    <xf numFmtId="49" fontId="10" fillId="2" borderId="24" xfId="0" applyNumberFormat="1" applyFont="1" applyFill="1" applyBorder="1" applyAlignment="1" applyProtection="1">
      <alignment horizontal="center" vertical="center" wrapText="1"/>
    </xf>
    <xf numFmtId="0" fontId="10" fillId="0" borderId="14" xfId="0" applyNumberFormat="1" applyFont="1" applyFill="1" applyBorder="1" applyAlignment="1" applyProtection="1">
      <alignment horizontal="left" vertical="center" wrapText="1"/>
    </xf>
    <xf numFmtId="43" fontId="11" fillId="2" borderId="14" xfId="8" applyFont="1" applyFill="1" applyBorder="1" applyAlignment="1" applyProtection="1">
      <alignment horizontal="right" vertical="center" wrapText="1"/>
      <protection locked="0"/>
    </xf>
    <xf numFmtId="0" fontId="11" fillId="2" borderId="21" xfId="0" applyFont="1" applyFill="1" applyBorder="1" applyAlignment="1" applyProtection="1">
      <alignment horizontal="center" vertical="center" wrapText="1"/>
      <protection locked="0"/>
    </xf>
    <xf numFmtId="2" fontId="11" fillId="0" borderId="13" xfId="0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2" borderId="15" xfId="0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 wrapText="1"/>
    </xf>
    <xf numFmtId="0" fontId="8" fillId="2" borderId="18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tabSelected="1" workbookViewId="0">
      <selection activeCell="B11" sqref="B11"/>
    </sheetView>
  </sheetViews>
  <sheetFormatPr defaultRowHeight="15" x14ac:dyDescent="0.25"/>
  <cols>
    <col min="1" max="1" width="6.5703125" customWidth="1"/>
    <col min="2" max="2" width="10.5703125" customWidth="1"/>
    <col min="3" max="3" width="11" customWidth="1"/>
    <col min="4" max="4" width="44.28515625" customWidth="1"/>
    <col min="5" max="5" width="6" customWidth="1"/>
    <col min="6" max="6" width="9.85546875" customWidth="1"/>
    <col min="7" max="7" width="10.28515625" customWidth="1"/>
    <col min="8" max="8" width="11.5703125" customWidth="1"/>
    <col min="9" max="9" width="12" customWidth="1"/>
    <col min="10" max="10" width="9.5703125" hidden="1" customWidth="1"/>
    <col min="11" max="11" width="8.5703125" customWidth="1"/>
  </cols>
  <sheetData>
    <row r="1" spans="1:12" s="5" customFormat="1" ht="43.5" customHeight="1" x14ac:dyDescent="0.25">
      <c r="A1" s="158" t="s">
        <v>44</v>
      </c>
      <c r="B1" s="159"/>
      <c r="C1" s="159"/>
      <c r="D1" s="159"/>
      <c r="E1" s="159"/>
      <c r="F1" s="159"/>
      <c r="G1" s="159"/>
      <c r="H1" s="159"/>
      <c r="I1" s="159"/>
    </row>
    <row r="2" spans="1:12" s="5" customFormat="1" x14ac:dyDescent="0.25">
      <c r="A2" s="163" t="s">
        <v>15</v>
      </c>
      <c r="B2" s="163"/>
      <c r="C2" s="163"/>
      <c r="D2" s="163"/>
      <c r="E2" s="163"/>
      <c r="F2" s="163"/>
      <c r="G2" s="163"/>
      <c r="H2" s="163"/>
      <c r="I2" s="163"/>
    </row>
    <row r="3" spans="1:12" s="5" customFormat="1" x14ac:dyDescent="0.25">
      <c r="A3" s="165" t="s">
        <v>40</v>
      </c>
      <c r="B3" s="166"/>
      <c r="C3" s="166"/>
      <c r="D3" s="166"/>
      <c r="E3" s="166"/>
      <c r="F3" s="166"/>
      <c r="G3" s="166"/>
      <c r="H3" s="166"/>
      <c r="I3" s="167"/>
    </row>
    <row r="4" spans="1:12" s="5" customFormat="1" x14ac:dyDescent="0.25">
      <c r="A4" s="164" t="s">
        <v>115</v>
      </c>
      <c r="B4" s="164"/>
      <c r="C4" s="164"/>
      <c r="D4" s="164"/>
      <c r="E4" s="164"/>
      <c r="F4" s="164"/>
      <c r="G4" s="164"/>
      <c r="H4" s="164"/>
      <c r="I4" s="164"/>
    </row>
    <row r="5" spans="1:12" s="5" customFormat="1" x14ac:dyDescent="0.25">
      <c r="A5" s="164" t="s">
        <v>116</v>
      </c>
      <c r="B5" s="164"/>
      <c r="C5" s="164"/>
      <c r="D5" s="164"/>
      <c r="E5" s="164"/>
      <c r="F5" s="164"/>
      <c r="G5" s="164"/>
      <c r="H5" s="164"/>
      <c r="I5" s="164"/>
    </row>
    <row r="6" spans="1:12" s="5" customFormat="1" x14ac:dyDescent="0.25">
      <c r="A6" s="160" t="s">
        <v>117</v>
      </c>
      <c r="B6" s="160"/>
      <c r="C6" s="160"/>
      <c r="D6" s="160"/>
      <c r="E6" s="160"/>
      <c r="F6" s="160"/>
      <c r="G6" s="160"/>
      <c r="H6" s="160"/>
      <c r="I6" s="161"/>
    </row>
    <row r="7" spans="1:12" s="5" customFormat="1" x14ac:dyDescent="0.25">
      <c r="A7" s="160" t="s">
        <v>316</v>
      </c>
      <c r="B7" s="160"/>
      <c r="C7" s="160"/>
      <c r="D7" s="160"/>
      <c r="E7" s="160"/>
      <c r="F7" s="160"/>
      <c r="G7" s="160"/>
      <c r="H7" s="160"/>
      <c r="I7" s="161"/>
      <c r="J7" s="42"/>
    </row>
    <row r="8" spans="1:12" s="5" customFormat="1" x14ac:dyDescent="0.25">
      <c r="A8" s="160" t="s">
        <v>178</v>
      </c>
      <c r="B8" s="160"/>
      <c r="C8" s="160"/>
      <c r="D8" s="160"/>
      <c r="E8" s="160"/>
      <c r="F8" s="160"/>
      <c r="G8" s="161"/>
      <c r="H8" s="13" t="s">
        <v>13</v>
      </c>
      <c r="I8" s="14">
        <v>0.28000000000000003</v>
      </c>
      <c r="J8" s="42"/>
    </row>
    <row r="9" spans="1:12" s="1" customFormat="1" ht="38.25" x14ac:dyDescent="0.25">
      <c r="A9" s="15" t="s">
        <v>4</v>
      </c>
      <c r="B9" s="15" t="s">
        <v>5</v>
      </c>
      <c r="C9" s="15" t="s">
        <v>12</v>
      </c>
      <c r="D9" s="15" t="s">
        <v>6</v>
      </c>
      <c r="E9" s="15" t="s">
        <v>7</v>
      </c>
      <c r="F9" s="15" t="s">
        <v>8</v>
      </c>
      <c r="G9" s="16" t="s">
        <v>9</v>
      </c>
      <c r="H9" s="16" t="s">
        <v>10</v>
      </c>
      <c r="I9" s="16" t="s">
        <v>11</v>
      </c>
      <c r="J9" s="43"/>
    </row>
    <row r="10" spans="1:12" x14ac:dyDescent="0.25">
      <c r="A10" s="150"/>
      <c r="B10" s="17"/>
      <c r="C10" s="17"/>
      <c r="D10" s="18"/>
      <c r="E10" s="19"/>
      <c r="F10" s="20"/>
      <c r="G10" s="21"/>
      <c r="H10" s="21"/>
      <c r="I10" s="22"/>
      <c r="J10" s="42"/>
    </row>
    <row r="11" spans="1:12" x14ac:dyDescent="0.25">
      <c r="A11" s="67" t="s">
        <v>16</v>
      </c>
      <c r="B11" s="68"/>
      <c r="C11" s="69"/>
      <c r="D11" s="70" t="s">
        <v>31</v>
      </c>
      <c r="E11" s="71" t="s">
        <v>0</v>
      </c>
      <c r="F11" s="72"/>
      <c r="G11" s="83"/>
      <c r="H11" s="74"/>
      <c r="I11" s="75">
        <f>SUM(I12:I13)</f>
        <v>11225.16</v>
      </c>
      <c r="J11" s="43"/>
      <c r="K11" s="2"/>
    </row>
    <row r="12" spans="1:12" s="5" customFormat="1" ht="90" customHeight="1" x14ac:dyDescent="0.25">
      <c r="A12" s="23" t="s">
        <v>1</v>
      </c>
      <c r="B12" s="23" t="s">
        <v>24</v>
      </c>
      <c r="C12" s="24" t="s">
        <v>37</v>
      </c>
      <c r="D12" s="28" t="s">
        <v>36</v>
      </c>
      <c r="E12" s="25" t="s">
        <v>7</v>
      </c>
      <c r="F12" s="26">
        <v>1</v>
      </c>
      <c r="G12" s="40">
        <v>1429.69</v>
      </c>
      <c r="H12" s="27">
        <f t="shared" ref="H12" si="0">ROUND(G12+(G12*$I$8),2)</f>
        <v>1830</v>
      </c>
      <c r="I12" s="41">
        <f t="shared" ref="I12" si="1">F12*H12</f>
        <v>1830</v>
      </c>
      <c r="J12" s="43"/>
      <c r="K12" s="6"/>
    </row>
    <row r="13" spans="1:12" s="5" customFormat="1" ht="55.5" customHeight="1" x14ac:dyDescent="0.25">
      <c r="A13" s="23" t="s">
        <v>47</v>
      </c>
      <c r="B13" s="38" t="s">
        <v>24</v>
      </c>
      <c r="C13" s="153" t="s">
        <v>157</v>
      </c>
      <c r="D13" s="154" t="s">
        <v>158</v>
      </c>
      <c r="E13" s="50" t="s">
        <v>7</v>
      </c>
      <c r="F13" s="51">
        <v>1</v>
      </c>
      <c r="G13" s="155">
        <v>7339.97</v>
      </c>
      <c r="H13" s="51">
        <f t="shared" ref="H13" si="2">ROUND(G13+(G13*$I$8),2)</f>
        <v>9395.16</v>
      </c>
      <c r="I13" s="54">
        <f t="shared" ref="I13" si="3">F13*H13</f>
        <v>9395.16</v>
      </c>
      <c r="J13" s="84"/>
      <c r="K13" s="6"/>
    </row>
    <row r="14" spans="1:12" s="5" customFormat="1" ht="12" customHeight="1" x14ac:dyDescent="0.25">
      <c r="A14" s="170"/>
      <c r="B14" s="171"/>
      <c r="C14" s="171"/>
      <c r="D14" s="171"/>
      <c r="E14" s="171"/>
      <c r="F14" s="171"/>
      <c r="G14" s="171"/>
      <c r="H14" s="171"/>
      <c r="I14" s="172"/>
      <c r="J14" s="45"/>
      <c r="K14" s="3"/>
    </row>
    <row r="15" spans="1:12" s="5" customFormat="1" ht="15" customHeight="1" x14ac:dyDescent="0.25">
      <c r="A15" s="67" t="s">
        <v>32</v>
      </c>
      <c r="B15" s="68"/>
      <c r="C15" s="69"/>
      <c r="D15" s="70" t="s">
        <v>181</v>
      </c>
      <c r="E15" s="71"/>
      <c r="F15" s="72"/>
      <c r="G15" s="73"/>
      <c r="H15" s="74"/>
      <c r="I15" s="75">
        <f>SUM(I16:I16)</f>
        <v>130730.48</v>
      </c>
      <c r="J15" s="45"/>
      <c r="K15" s="3"/>
      <c r="L15" s="10"/>
    </row>
    <row r="16" spans="1:12" s="5" customFormat="1" ht="86.25" customHeight="1" x14ac:dyDescent="0.25">
      <c r="A16" s="68" t="s">
        <v>33</v>
      </c>
      <c r="B16" s="87" t="s">
        <v>24</v>
      </c>
      <c r="C16" s="88" t="s">
        <v>179</v>
      </c>
      <c r="D16" s="151" t="s">
        <v>180</v>
      </c>
      <c r="E16" s="71" t="s">
        <v>3</v>
      </c>
      <c r="F16" s="72">
        <v>772</v>
      </c>
      <c r="G16" s="73">
        <v>132.30000000000001</v>
      </c>
      <c r="H16" s="74">
        <f t="shared" ref="H16" si="4">ROUND(G16+(G16*$I$8),2)</f>
        <v>169.34</v>
      </c>
      <c r="I16" s="152">
        <f t="shared" ref="I16" si="5">F16*H16</f>
        <v>130730.48</v>
      </c>
      <c r="J16" s="45">
        <f>105+240+79+322+26</f>
        <v>772</v>
      </c>
      <c r="K16" s="3"/>
      <c r="L16" s="10"/>
    </row>
    <row r="17" spans="1:12" s="5" customFormat="1" ht="12" customHeight="1" x14ac:dyDescent="0.25">
      <c r="A17" s="173"/>
      <c r="B17" s="174"/>
      <c r="C17" s="174"/>
      <c r="D17" s="174"/>
      <c r="E17" s="174"/>
      <c r="F17" s="174"/>
      <c r="G17" s="174"/>
      <c r="H17" s="174"/>
      <c r="I17" s="175"/>
      <c r="J17" s="45"/>
      <c r="K17" s="3"/>
    </row>
    <row r="18" spans="1:12" s="5" customFormat="1" ht="17.25" customHeight="1" x14ac:dyDescent="0.25">
      <c r="A18" s="132" t="s">
        <v>49</v>
      </c>
      <c r="B18" s="97"/>
      <c r="C18" s="97"/>
      <c r="D18" s="97" t="s">
        <v>118</v>
      </c>
      <c r="E18" s="97"/>
      <c r="F18" s="97"/>
      <c r="G18" s="97"/>
      <c r="H18" s="97"/>
      <c r="I18" s="98"/>
      <c r="J18" s="85" t="s">
        <v>207</v>
      </c>
      <c r="K18" s="3"/>
    </row>
    <row r="19" spans="1:12" s="5" customFormat="1" x14ac:dyDescent="0.25">
      <c r="A19" s="67" t="s">
        <v>50</v>
      </c>
      <c r="B19" s="68"/>
      <c r="C19" s="69"/>
      <c r="D19" s="70" t="s">
        <v>119</v>
      </c>
      <c r="E19" s="71" t="s">
        <v>0</v>
      </c>
      <c r="F19" s="72"/>
      <c r="G19" s="83"/>
      <c r="H19" s="74"/>
      <c r="I19" s="75">
        <f>SUM(I20:I30)</f>
        <v>104190.9829</v>
      </c>
      <c r="J19" s="147">
        <f>((9*3)+2.95)+((7*3)+1.7)</f>
        <v>52.65</v>
      </c>
      <c r="K19" s="11" t="s">
        <v>208</v>
      </c>
      <c r="L19" s="11"/>
    </row>
    <row r="20" spans="1:12" s="5" customFormat="1" ht="42.75" customHeight="1" x14ac:dyDescent="0.25">
      <c r="A20" s="23" t="s">
        <v>212</v>
      </c>
      <c r="B20" s="32" t="s">
        <v>2</v>
      </c>
      <c r="C20" s="33" t="s">
        <v>25</v>
      </c>
      <c r="D20" s="34" t="s">
        <v>48</v>
      </c>
      <c r="E20" s="35" t="s">
        <v>23</v>
      </c>
      <c r="F20" s="36">
        <v>102</v>
      </c>
      <c r="G20" s="39">
        <v>55.63</v>
      </c>
      <c r="H20" s="30">
        <f>ROUND(G20+(G20*$I$8),2)</f>
        <v>71.209999999999994</v>
      </c>
      <c r="I20" s="31">
        <f t="shared" ref="I20:I23" si="6">F20*H20</f>
        <v>7263.4199999999992</v>
      </c>
      <c r="J20" s="95">
        <f>(17*6)</f>
        <v>102</v>
      </c>
      <c r="K20" s="3"/>
    </row>
    <row r="21" spans="1:12" s="5" customFormat="1" ht="42" customHeight="1" x14ac:dyDescent="0.25">
      <c r="A21" s="23" t="s">
        <v>213</v>
      </c>
      <c r="B21" s="32" t="s">
        <v>2</v>
      </c>
      <c r="C21" s="33" t="s">
        <v>38</v>
      </c>
      <c r="D21" s="34" t="s">
        <v>39</v>
      </c>
      <c r="E21" s="35" t="s">
        <v>3</v>
      </c>
      <c r="F21" s="36">
        <v>69.319999999999993</v>
      </c>
      <c r="G21" s="29">
        <v>91.46</v>
      </c>
      <c r="H21" s="30">
        <f>ROUND(G21+(G21*$I$8),2)</f>
        <v>117.07</v>
      </c>
      <c r="I21" s="31">
        <f t="shared" si="6"/>
        <v>8115.2923999999985</v>
      </c>
      <c r="J21" s="95">
        <f>(52.65*0.4*2)+(0.25*2*3.2*17)</f>
        <v>69.320000000000007</v>
      </c>
      <c r="K21" s="3"/>
    </row>
    <row r="22" spans="1:12" s="5" customFormat="1" ht="42" customHeight="1" x14ac:dyDescent="0.25">
      <c r="A22" s="23" t="s">
        <v>214</v>
      </c>
      <c r="B22" s="32" t="s">
        <v>2</v>
      </c>
      <c r="C22" s="33" t="s">
        <v>34</v>
      </c>
      <c r="D22" s="34" t="s">
        <v>35</v>
      </c>
      <c r="E22" s="35" t="s">
        <v>26</v>
      </c>
      <c r="F22" s="36">
        <v>836</v>
      </c>
      <c r="G22" s="29">
        <v>10.68</v>
      </c>
      <c r="H22" s="30">
        <f t="shared" ref="H22:H23" si="7">ROUND(G22+(G22*$I$8),2)</f>
        <v>13.67</v>
      </c>
      <c r="I22" s="31">
        <f t="shared" si="6"/>
        <v>11428.12</v>
      </c>
      <c r="J22" s="102">
        <f>(8.36*100)</f>
        <v>836</v>
      </c>
      <c r="K22" s="3"/>
    </row>
    <row r="23" spans="1:12" s="5" customFormat="1" ht="54.75" customHeight="1" x14ac:dyDescent="0.25">
      <c r="A23" s="23" t="s">
        <v>215</v>
      </c>
      <c r="B23" s="57" t="s">
        <v>2</v>
      </c>
      <c r="C23" s="105" t="s">
        <v>160</v>
      </c>
      <c r="D23" s="76" t="s">
        <v>159</v>
      </c>
      <c r="E23" s="59" t="s">
        <v>17</v>
      </c>
      <c r="F23" s="60">
        <v>8.36</v>
      </c>
      <c r="G23" s="61">
        <v>744.85</v>
      </c>
      <c r="H23" s="62">
        <f t="shared" si="7"/>
        <v>953.41</v>
      </c>
      <c r="I23" s="63">
        <f t="shared" si="6"/>
        <v>7970.507599999999</v>
      </c>
      <c r="J23" s="102">
        <f>(52.65*0.3*0.4)+(0.15*0.25*3.2*17)</f>
        <v>8.3580000000000005</v>
      </c>
      <c r="K23" s="3"/>
      <c r="L23" s="10"/>
    </row>
    <row r="24" spans="1:12" s="5" customFormat="1" ht="33" customHeight="1" x14ac:dyDescent="0.25">
      <c r="A24" s="23" t="s">
        <v>216</v>
      </c>
      <c r="B24" s="57" t="s">
        <v>2</v>
      </c>
      <c r="C24" s="58" t="s">
        <v>163</v>
      </c>
      <c r="D24" s="76" t="s">
        <v>162</v>
      </c>
      <c r="E24" s="59" t="s">
        <v>17</v>
      </c>
      <c r="F24" s="60">
        <v>50.4</v>
      </c>
      <c r="G24" s="61">
        <v>76.8</v>
      </c>
      <c r="H24" s="62">
        <f t="shared" ref="H24:H25" si="8">ROUND(G24+(G24*$I$8),2)</f>
        <v>98.3</v>
      </c>
      <c r="I24" s="63">
        <f t="shared" ref="I24:I28" si="9">F24*H24</f>
        <v>4954.32</v>
      </c>
      <c r="J24" s="85">
        <f>(9*7*0.8)</f>
        <v>50.400000000000006</v>
      </c>
      <c r="K24" s="3"/>
      <c r="L24" s="10"/>
    </row>
    <row r="25" spans="1:12" s="5" customFormat="1" ht="57" customHeight="1" x14ac:dyDescent="0.25">
      <c r="A25" s="23" t="s">
        <v>217</v>
      </c>
      <c r="B25" s="32" t="s">
        <v>2</v>
      </c>
      <c r="C25" s="106" t="s">
        <v>45</v>
      </c>
      <c r="D25" s="79" t="s">
        <v>46</v>
      </c>
      <c r="E25" s="25" t="s">
        <v>3</v>
      </c>
      <c r="F25" s="26">
        <v>168.48</v>
      </c>
      <c r="G25" s="66">
        <v>88</v>
      </c>
      <c r="H25" s="27">
        <f t="shared" si="8"/>
        <v>112.64</v>
      </c>
      <c r="I25" s="41">
        <f t="shared" si="9"/>
        <v>18977.587199999998</v>
      </c>
      <c r="J25" s="94">
        <f>52.65*3.2</f>
        <v>168.48000000000002</v>
      </c>
      <c r="K25" s="3"/>
    </row>
    <row r="26" spans="1:12" s="5" customFormat="1" ht="30.75" customHeight="1" x14ac:dyDescent="0.25">
      <c r="A26" s="23" t="s">
        <v>218</v>
      </c>
      <c r="B26" s="32" t="s">
        <v>2</v>
      </c>
      <c r="C26" s="107" t="s">
        <v>21</v>
      </c>
      <c r="D26" s="34" t="s">
        <v>22</v>
      </c>
      <c r="E26" s="35" t="s">
        <v>23</v>
      </c>
      <c r="F26" s="36">
        <v>157.94999999999999</v>
      </c>
      <c r="G26" s="39">
        <v>36.619999999999997</v>
      </c>
      <c r="H26" s="30">
        <f>ROUND(G26+(G26*$I$8),2)</f>
        <v>46.87</v>
      </c>
      <c r="I26" s="31">
        <f t="shared" si="9"/>
        <v>7403.1164999999992</v>
      </c>
      <c r="J26" s="46">
        <f>(2*52.65)+52.65</f>
        <v>157.94999999999999</v>
      </c>
      <c r="K26" s="3"/>
    </row>
    <row r="27" spans="1:12" s="5" customFormat="1" ht="59.25" customHeight="1" x14ac:dyDescent="0.25">
      <c r="A27" s="23" t="s">
        <v>219</v>
      </c>
      <c r="B27" s="32" t="s">
        <v>2</v>
      </c>
      <c r="C27" s="107" t="s">
        <v>164</v>
      </c>
      <c r="D27" s="34" t="s">
        <v>165</v>
      </c>
      <c r="E27" s="35" t="s">
        <v>3</v>
      </c>
      <c r="F27" s="36">
        <v>399.96</v>
      </c>
      <c r="G27" s="29">
        <v>8.5500000000000007</v>
      </c>
      <c r="H27" s="30">
        <f t="shared" ref="H27:H28" si="10">ROUND(G27+(G27*$I$8),2)</f>
        <v>10.94</v>
      </c>
      <c r="I27" s="31">
        <f t="shared" si="9"/>
        <v>4375.5623999999998</v>
      </c>
      <c r="J27" s="94">
        <f>(168.48*2)+(9*7)</f>
        <v>399.96</v>
      </c>
      <c r="K27" s="3" t="s">
        <v>152</v>
      </c>
    </row>
    <row r="28" spans="1:12" s="5" customFormat="1" ht="69.75" customHeight="1" x14ac:dyDescent="0.25">
      <c r="A28" s="23" t="s">
        <v>220</v>
      </c>
      <c r="B28" s="32" t="s">
        <v>2</v>
      </c>
      <c r="C28" s="107" t="s">
        <v>27</v>
      </c>
      <c r="D28" s="34" t="s">
        <v>28</v>
      </c>
      <c r="E28" s="35" t="s">
        <v>3</v>
      </c>
      <c r="F28" s="36">
        <v>165.4</v>
      </c>
      <c r="G28" s="29">
        <v>35.69</v>
      </c>
      <c r="H28" s="30">
        <f t="shared" si="10"/>
        <v>45.68</v>
      </c>
      <c r="I28" s="31">
        <f t="shared" si="9"/>
        <v>7555.4720000000007</v>
      </c>
      <c r="J28" s="46">
        <f>(((9*2)+(7*2))*3.2)+63</f>
        <v>165.4</v>
      </c>
      <c r="K28" s="148" t="s">
        <v>209</v>
      </c>
    </row>
    <row r="29" spans="1:12" s="5" customFormat="1" ht="58.5" customHeight="1" x14ac:dyDescent="0.25">
      <c r="A29" s="23" t="s">
        <v>221</v>
      </c>
      <c r="B29" s="32" t="s">
        <v>24</v>
      </c>
      <c r="C29" s="33" t="s">
        <v>172</v>
      </c>
      <c r="D29" s="34" t="s">
        <v>173</v>
      </c>
      <c r="E29" s="35" t="s">
        <v>3</v>
      </c>
      <c r="F29" s="36">
        <v>183.42</v>
      </c>
      <c r="G29" s="29">
        <v>30.42</v>
      </c>
      <c r="H29" s="30">
        <f t="shared" ref="H29:H30" si="11">ROUND(G29+(G29*$I$8),2)</f>
        <v>38.94</v>
      </c>
      <c r="I29" s="31">
        <f t="shared" ref="I29:I30" si="12">F29*H29</f>
        <v>7142.3747999999987</v>
      </c>
      <c r="J29" s="46">
        <f>(((2.5+1.5)*2*3.2)*2)+(((7.05+3.28)*2*3.2)*2)</f>
        <v>183.42400000000004</v>
      </c>
      <c r="K29" s="94"/>
    </row>
    <row r="30" spans="1:12" s="5" customFormat="1" ht="58.5" customHeight="1" x14ac:dyDescent="0.25">
      <c r="A30" s="23" t="s">
        <v>222</v>
      </c>
      <c r="B30" s="32" t="s">
        <v>2</v>
      </c>
      <c r="C30" s="78" t="s">
        <v>55</v>
      </c>
      <c r="D30" s="80" t="s">
        <v>54</v>
      </c>
      <c r="E30" s="25" t="s">
        <v>3</v>
      </c>
      <c r="F30" s="26">
        <v>63</v>
      </c>
      <c r="G30" s="66">
        <v>235.68</v>
      </c>
      <c r="H30" s="27">
        <f t="shared" si="11"/>
        <v>301.67</v>
      </c>
      <c r="I30" s="41">
        <f t="shared" si="12"/>
        <v>19005.210000000003</v>
      </c>
      <c r="J30" s="45">
        <f>9*7</f>
        <v>63</v>
      </c>
      <c r="K30" s="3"/>
      <c r="L30" s="10"/>
    </row>
    <row r="31" spans="1:12" s="5" customFormat="1" x14ac:dyDescent="0.25">
      <c r="A31" s="67" t="s">
        <v>51</v>
      </c>
      <c r="B31" s="68"/>
      <c r="C31" s="69"/>
      <c r="D31" s="70" t="s">
        <v>114</v>
      </c>
      <c r="E31" s="71" t="s">
        <v>0</v>
      </c>
      <c r="F31" s="72"/>
      <c r="G31" s="83"/>
      <c r="H31" s="74"/>
      <c r="I31" s="75">
        <f>SUM(I32:I33)</f>
        <v>21651.210000000003</v>
      </c>
      <c r="J31" s="44"/>
      <c r="K31" s="11"/>
      <c r="L31" s="11"/>
    </row>
    <row r="32" spans="1:12" s="5" customFormat="1" ht="58.5" customHeight="1" x14ac:dyDescent="0.25">
      <c r="A32" s="23" t="s">
        <v>223</v>
      </c>
      <c r="B32" s="32" t="s">
        <v>2</v>
      </c>
      <c r="C32" s="78" t="s">
        <v>62</v>
      </c>
      <c r="D32" s="80" t="s">
        <v>63</v>
      </c>
      <c r="E32" s="25" t="s">
        <v>3</v>
      </c>
      <c r="F32" s="26">
        <v>63</v>
      </c>
      <c r="G32" s="66">
        <v>221.97</v>
      </c>
      <c r="H32" s="27">
        <f t="shared" ref="H32" si="13">ROUND(G32+(G32*$I$8),2)</f>
        <v>284.12</v>
      </c>
      <c r="I32" s="41">
        <f t="shared" ref="I32:I33" si="14">F32*H32</f>
        <v>17899.560000000001</v>
      </c>
      <c r="J32" s="104">
        <f>9*7</f>
        <v>63</v>
      </c>
      <c r="K32" s="3"/>
      <c r="L32" s="10"/>
    </row>
    <row r="33" spans="1:12" s="5" customFormat="1" ht="36" customHeight="1" x14ac:dyDescent="0.25">
      <c r="A33" s="23" t="s">
        <v>224</v>
      </c>
      <c r="B33" s="57" t="s">
        <v>2</v>
      </c>
      <c r="C33" s="58" t="s">
        <v>57</v>
      </c>
      <c r="D33" s="76" t="s">
        <v>56</v>
      </c>
      <c r="E33" s="59" t="s">
        <v>23</v>
      </c>
      <c r="F33" s="60">
        <v>189</v>
      </c>
      <c r="G33" s="77">
        <v>15.51</v>
      </c>
      <c r="H33" s="62">
        <f>ROUND(G33+(G33*$I$8),2)</f>
        <v>19.850000000000001</v>
      </c>
      <c r="I33" s="63">
        <f t="shared" si="14"/>
        <v>3751.65</v>
      </c>
      <c r="J33" s="46">
        <f>63*3</f>
        <v>189</v>
      </c>
      <c r="K33" s="3"/>
    </row>
    <row r="34" spans="1:12" s="5" customFormat="1" x14ac:dyDescent="0.25">
      <c r="A34" s="67" t="s">
        <v>52</v>
      </c>
      <c r="B34" s="68"/>
      <c r="C34" s="69"/>
      <c r="D34" s="70" t="s">
        <v>120</v>
      </c>
      <c r="E34" s="71" t="s">
        <v>0</v>
      </c>
      <c r="F34" s="72"/>
      <c r="G34" s="83"/>
      <c r="H34" s="74"/>
      <c r="I34" s="75">
        <f>SUM(I35:I38)</f>
        <v>27558.784800000001</v>
      </c>
      <c r="J34" s="44"/>
      <c r="K34" s="11"/>
      <c r="L34" s="11"/>
    </row>
    <row r="35" spans="1:12" s="5" customFormat="1" ht="35.25" customHeight="1" x14ac:dyDescent="0.25">
      <c r="A35" s="23" t="s">
        <v>225</v>
      </c>
      <c r="B35" s="32" t="s">
        <v>2</v>
      </c>
      <c r="C35" s="64" t="s">
        <v>66</v>
      </c>
      <c r="D35" s="65" t="s">
        <v>65</v>
      </c>
      <c r="E35" s="25" t="s">
        <v>3</v>
      </c>
      <c r="F35" s="26">
        <v>63</v>
      </c>
      <c r="G35" s="66">
        <v>78.42</v>
      </c>
      <c r="H35" s="27">
        <f t="shared" ref="H35:H38" si="15">ROUND(G35+(G35*$I$8),2)</f>
        <v>100.38</v>
      </c>
      <c r="I35" s="41">
        <f t="shared" ref="I35:I38" si="16">F35*H35</f>
        <v>6323.94</v>
      </c>
      <c r="J35" s="46">
        <f>(9*7)</f>
        <v>63</v>
      </c>
      <c r="K35" s="3"/>
    </row>
    <row r="36" spans="1:12" s="5" customFormat="1" ht="78" customHeight="1" x14ac:dyDescent="0.25">
      <c r="A36" s="23" t="s">
        <v>226</v>
      </c>
      <c r="B36" s="57" t="s">
        <v>2</v>
      </c>
      <c r="C36" s="90" t="s">
        <v>68</v>
      </c>
      <c r="D36" s="65" t="s">
        <v>67</v>
      </c>
      <c r="E36" s="81" t="s">
        <v>3</v>
      </c>
      <c r="F36" s="26">
        <v>63</v>
      </c>
      <c r="G36" s="66">
        <v>47</v>
      </c>
      <c r="H36" s="27">
        <f t="shared" si="15"/>
        <v>60.16</v>
      </c>
      <c r="I36" s="41">
        <f t="shared" si="16"/>
        <v>3790.08</v>
      </c>
      <c r="J36" s="46">
        <f>(9*7)</f>
        <v>63</v>
      </c>
      <c r="K36" s="3"/>
    </row>
    <row r="37" spans="1:12" s="5" customFormat="1" ht="58.5" customHeight="1" x14ac:dyDescent="0.25">
      <c r="A37" s="133" t="s">
        <v>227</v>
      </c>
      <c r="B37" s="156" t="s">
        <v>2</v>
      </c>
      <c r="C37" s="105" t="s">
        <v>318</v>
      </c>
      <c r="D37" s="157" t="s">
        <v>317</v>
      </c>
      <c r="E37" s="59" t="s">
        <v>3</v>
      </c>
      <c r="F37" s="60">
        <v>63</v>
      </c>
      <c r="G37" s="61">
        <v>56.11</v>
      </c>
      <c r="H37" s="62">
        <f t="shared" si="15"/>
        <v>71.819999999999993</v>
      </c>
      <c r="I37" s="63">
        <f t="shared" si="16"/>
        <v>4524.66</v>
      </c>
      <c r="J37" s="46">
        <f>(9*7)</f>
        <v>63</v>
      </c>
      <c r="K37" s="3"/>
    </row>
    <row r="38" spans="1:12" s="5" customFormat="1" ht="57" customHeight="1" x14ac:dyDescent="0.25">
      <c r="A38" s="23" t="s">
        <v>228</v>
      </c>
      <c r="B38" s="86" t="s">
        <v>2</v>
      </c>
      <c r="C38" s="58" t="s">
        <v>121</v>
      </c>
      <c r="D38" s="37" t="s">
        <v>174</v>
      </c>
      <c r="E38" s="59" t="s">
        <v>3</v>
      </c>
      <c r="F38" s="60">
        <v>183.42</v>
      </c>
      <c r="G38" s="61">
        <v>55.03</v>
      </c>
      <c r="H38" s="62">
        <f t="shared" si="15"/>
        <v>70.44</v>
      </c>
      <c r="I38" s="63">
        <f t="shared" si="16"/>
        <v>12920.104799999999</v>
      </c>
      <c r="J38" s="46">
        <f>(((2.5+1.5)*2*3.2)*2)+(((7.05+3.28)*2*3.2)*2)</f>
        <v>183.42400000000004</v>
      </c>
      <c r="K38" s="3"/>
    </row>
    <row r="39" spans="1:12" s="5" customFormat="1" x14ac:dyDescent="0.25">
      <c r="A39" s="117" t="s">
        <v>176</v>
      </c>
      <c r="B39" s="118"/>
      <c r="C39" s="107"/>
      <c r="D39" s="119" t="s">
        <v>76</v>
      </c>
      <c r="E39" s="120" t="s">
        <v>0</v>
      </c>
      <c r="F39" s="121">
        <v>0</v>
      </c>
      <c r="G39" s="39"/>
      <c r="H39" s="122"/>
      <c r="I39" s="123">
        <f>SUM(I40:I47)</f>
        <v>43769.236700000001</v>
      </c>
      <c r="J39" s="46"/>
    </row>
    <row r="40" spans="1:12" s="5" customFormat="1" ht="37.5" customHeight="1" x14ac:dyDescent="0.25">
      <c r="A40" s="108" t="s">
        <v>229</v>
      </c>
      <c r="B40" s="32" t="s">
        <v>2</v>
      </c>
      <c r="C40" s="33" t="s">
        <v>79</v>
      </c>
      <c r="D40" s="109" t="s">
        <v>198</v>
      </c>
      <c r="E40" s="110" t="s">
        <v>3</v>
      </c>
      <c r="F40" s="111">
        <v>7.56</v>
      </c>
      <c r="G40" s="29">
        <v>635</v>
      </c>
      <c r="H40" s="30">
        <f t="shared" ref="H40:H47" si="17">ROUND(G40+(G40*$I$8),2)</f>
        <v>812.8</v>
      </c>
      <c r="I40" s="31">
        <f>F40*H40</f>
        <v>6144.7679999999991</v>
      </c>
      <c r="J40" s="42">
        <f>(0.9*2.1)*4</f>
        <v>7.5600000000000005</v>
      </c>
      <c r="K40" s="42"/>
    </row>
    <row r="41" spans="1:12" s="5" customFormat="1" ht="55.5" customHeight="1" x14ac:dyDescent="0.25">
      <c r="A41" s="108" t="s">
        <v>230</v>
      </c>
      <c r="B41" s="32" t="s">
        <v>24</v>
      </c>
      <c r="C41" s="33" t="s">
        <v>122</v>
      </c>
      <c r="D41" s="109" t="s">
        <v>123</v>
      </c>
      <c r="E41" s="110" t="s">
        <v>124</v>
      </c>
      <c r="F41" s="111">
        <v>6</v>
      </c>
      <c r="G41" s="29">
        <v>367.34</v>
      </c>
      <c r="H41" s="30">
        <f t="shared" si="17"/>
        <v>470.2</v>
      </c>
      <c r="I41" s="31">
        <f>F41*H41</f>
        <v>2821.2</v>
      </c>
      <c r="J41" s="42">
        <v>6</v>
      </c>
    </row>
    <row r="42" spans="1:12" s="5" customFormat="1" ht="33" customHeight="1" x14ac:dyDescent="0.25">
      <c r="A42" s="108" t="s">
        <v>231</v>
      </c>
      <c r="B42" s="32" t="s">
        <v>2</v>
      </c>
      <c r="C42" s="33" t="s">
        <v>77</v>
      </c>
      <c r="D42" s="109" t="s">
        <v>78</v>
      </c>
      <c r="E42" s="110" t="s">
        <v>3</v>
      </c>
      <c r="F42" s="111">
        <v>0.96</v>
      </c>
      <c r="G42" s="29">
        <v>430</v>
      </c>
      <c r="H42" s="30">
        <f t="shared" si="17"/>
        <v>550.4</v>
      </c>
      <c r="I42" s="31">
        <f t="shared" ref="I42:I47" si="18">F42*H42</f>
        <v>528.38400000000001</v>
      </c>
      <c r="J42" s="42">
        <f>((0.8*0.6)*2)</f>
        <v>0.96</v>
      </c>
    </row>
    <row r="43" spans="1:12" s="5" customFormat="1" ht="32.25" customHeight="1" x14ac:dyDescent="0.25">
      <c r="A43" s="108" t="s">
        <v>232</v>
      </c>
      <c r="B43" s="32" t="s">
        <v>24</v>
      </c>
      <c r="C43" s="64" t="s">
        <v>203</v>
      </c>
      <c r="D43" s="65" t="s">
        <v>204</v>
      </c>
      <c r="E43" s="25" t="s">
        <v>3</v>
      </c>
      <c r="F43" s="26">
        <v>3.6</v>
      </c>
      <c r="G43" s="66">
        <v>544.84</v>
      </c>
      <c r="H43" s="27">
        <f t="shared" si="17"/>
        <v>697.4</v>
      </c>
      <c r="I43" s="41">
        <f t="shared" si="18"/>
        <v>2510.64</v>
      </c>
      <c r="J43" s="45">
        <f>(1.2*1.5)*2</f>
        <v>3.5999999999999996</v>
      </c>
      <c r="K43" s="3"/>
    </row>
    <row r="44" spans="1:12" s="5" customFormat="1" ht="64.5" customHeight="1" x14ac:dyDescent="0.25">
      <c r="A44" s="108" t="s">
        <v>233</v>
      </c>
      <c r="B44" s="32" t="s">
        <v>24</v>
      </c>
      <c r="C44" s="64" t="s">
        <v>205</v>
      </c>
      <c r="D44" s="65" t="s">
        <v>206</v>
      </c>
      <c r="E44" s="25" t="s">
        <v>3</v>
      </c>
      <c r="F44" s="26">
        <v>3.6</v>
      </c>
      <c r="G44" s="66">
        <v>168.06</v>
      </c>
      <c r="H44" s="27">
        <f t="shared" si="17"/>
        <v>215.12</v>
      </c>
      <c r="I44" s="41">
        <f t="shared" si="18"/>
        <v>774.43200000000002</v>
      </c>
      <c r="J44" s="45">
        <f>(1.2*1.5)*2</f>
        <v>3.5999999999999996</v>
      </c>
      <c r="K44" s="3"/>
    </row>
    <row r="45" spans="1:12" s="5" customFormat="1" ht="30.75" customHeight="1" x14ac:dyDescent="0.25">
      <c r="A45" s="108" t="s">
        <v>234</v>
      </c>
      <c r="B45" s="32" t="s">
        <v>24</v>
      </c>
      <c r="C45" s="64" t="s">
        <v>81</v>
      </c>
      <c r="D45" s="65" t="s">
        <v>80</v>
      </c>
      <c r="E45" s="25" t="s">
        <v>3</v>
      </c>
      <c r="F45" s="26">
        <v>0.72</v>
      </c>
      <c r="G45" s="66">
        <v>368.46</v>
      </c>
      <c r="H45" s="27">
        <f t="shared" si="17"/>
        <v>471.63</v>
      </c>
      <c r="I45" s="41">
        <f t="shared" si="18"/>
        <v>339.5736</v>
      </c>
      <c r="J45" s="94">
        <f>(0.9*0.2)*4</f>
        <v>0.72000000000000008</v>
      </c>
      <c r="K45" s="3"/>
    </row>
    <row r="46" spans="1:12" s="5" customFormat="1" ht="19.5" customHeight="1" x14ac:dyDescent="0.25">
      <c r="A46" s="108" t="s">
        <v>235</v>
      </c>
      <c r="B46" s="32" t="s">
        <v>24</v>
      </c>
      <c r="C46" s="64" t="s">
        <v>168</v>
      </c>
      <c r="D46" s="65" t="s">
        <v>169</v>
      </c>
      <c r="E46" s="25" t="s">
        <v>3</v>
      </c>
      <c r="F46" s="26">
        <v>1.1499999999999999</v>
      </c>
      <c r="G46" s="66">
        <v>302.02</v>
      </c>
      <c r="H46" s="27">
        <f t="shared" si="17"/>
        <v>386.59</v>
      </c>
      <c r="I46" s="41">
        <f t="shared" si="18"/>
        <v>444.57849999999996</v>
      </c>
      <c r="J46" s="94">
        <f>((0.8*0.25)*2)+((1.5*0.25)*2)</f>
        <v>1.1499999999999999</v>
      </c>
      <c r="K46" s="3"/>
    </row>
    <row r="47" spans="1:12" s="5" customFormat="1" ht="44.25" customHeight="1" x14ac:dyDescent="0.25">
      <c r="A47" s="108" t="s">
        <v>236</v>
      </c>
      <c r="B47" s="32" t="s">
        <v>2</v>
      </c>
      <c r="C47" s="33" t="s">
        <v>129</v>
      </c>
      <c r="D47" s="109" t="s">
        <v>130</v>
      </c>
      <c r="E47" s="110" t="s">
        <v>3</v>
      </c>
      <c r="F47" s="111">
        <v>35.71</v>
      </c>
      <c r="G47" s="29">
        <v>660.83</v>
      </c>
      <c r="H47" s="30">
        <f t="shared" si="17"/>
        <v>845.86</v>
      </c>
      <c r="I47" s="31">
        <f t="shared" si="18"/>
        <v>30205.660600000003</v>
      </c>
      <c r="J47" s="149">
        <f>(((1.28*3)+(2.8+3.28))*1.8)*2</f>
        <v>35.712000000000003</v>
      </c>
      <c r="K47" s="103"/>
    </row>
    <row r="48" spans="1:12" s="5" customFormat="1" x14ac:dyDescent="0.25">
      <c r="A48" s="112" t="s">
        <v>202</v>
      </c>
      <c r="B48" s="32"/>
      <c r="C48" s="33"/>
      <c r="D48" s="113" t="s">
        <v>83</v>
      </c>
      <c r="E48" s="110" t="s">
        <v>0</v>
      </c>
      <c r="F48" s="111">
        <v>0</v>
      </c>
      <c r="G48" s="29"/>
      <c r="H48" s="30"/>
      <c r="I48" s="114">
        <f>SUM(I49:I55)</f>
        <v>12434.119999999999</v>
      </c>
    </row>
    <row r="49" spans="1:11" s="5" customFormat="1" ht="76.5" x14ac:dyDescent="0.25">
      <c r="A49" s="115" t="s">
        <v>237</v>
      </c>
      <c r="B49" s="32" t="s">
        <v>24</v>
      </c>
      <c r="C49" s="33" t="s">
        <v>109</v>
      </c>
      <c r="D49" s="109" t="s">
        <v>110</v>
      </c>
      <c r="E49" s="110" t="s">
        <v>84</v>
      </c>
      <c r="F49" s="111">
        <v>22</v>
      </c>
      <c r="G49" s="29">
        <v>124.35</v>
      </c>
      <c r="H49" s="30">
        <f t="shared" ref="H49:H54" si="19">ROUND(G49+(G49*$I$8),2)</f>
        <v>159.16999999999999</v>
      </c>
      <c r="I49" s="31">
        <f t="shared" ref="I49:I54" si="20">F49*H49</f>
        <v>3501.74</v>
      </c>
      <c r="J49" s="100">
        <v>22</v>
      </c>
    </row>
    <row r="50" spans="1:11" s="5" customFormat="1" ht="123" customHeight="1" x14ac:dyDescent="0.25">
      <c r="A50" s="115" t="s">
        <v>238</v>
      </c>
      <c r="B50" s="32" t="s">
        <v>24</v>
      </c>
      <c r="C50" s="33" t="s">
        <v>111</v>
      </c>
      <c r="D50" s="109" t="s">
        <v>319</v>
      </c>
      <c r="E50" s="110" t="s">
        <v>84</v>
      </c>
      <c r="F50" s="111">
        <v>12</v>
      </c>
      <c r="G50" s="29">
        <v>143.22999999999999</v>
      </c>
      <c r="H50" s="30">
        <f t="shared" si="19"/>
        <v>183.33</v>
      </c>
      <c r="I50" s="31">
        <f t="shared" si="20"/>
        <v>2199.96</v>
      </c>
      <c r="J50" s="100">
        <v>12</v>
      </c>
    </row>
    <row r="51" spans="1:11" s="5" customFormat="1" ht="83.25" customHeight="1" x14ac:dyDescent="0.25">
      <c r="A51" s="115" t="s">
        <v>239</v>
      </c>
      <c r="B51" s="32" t="s">
        <v>24</v>
      </c>
      <c r="C51" s="33" t="s">
        <v>131</v>
      </c>
      <c r="D51" s="109" t="s">
        <v>320</v>
      </c>
      <c r="E51" s="110" t="s">
        <v>84</v>
      </c>
      <c r="F51" s="111">
        <v>10</v>
      </c>
      <c r="G51" s="29">
        <v>284.14999999999998</v>
      </c>
      <c r="H51" s="30">
        <f t="shared" si="19"/>
        <v>363.71</v>
      </c>
      <c r="I51" s="31">
        <f t="shared" si="20"/>
        <v>3637.1</v>
      </c>
      <c r="J51" s="100">
        <v>10</v>
      </c>
    </row>
    <row r="52" spans="1:11" s="5" customFormat="1" ht="38.25" x14ac:dyDescent="0.25">
      <c r="A52" s="115" t="s">
        <v>240</v>
      </c>
      <c r="B52" s="32" t="s">
        <v>2</v>
      </c>
      <c r="C52" s="33" t="s">
        <v>132</v>
      </c>
      <c r="D52" s="109" t="s">
        <v>133</v>
      </c>
      <c r="E52" s="110" t="s">
        <v>84</v>
      </c>
      <c r="F52" s="111">
        <v>1</v>
      </c>
      <c r="G52" s="29">
        <v>591.33000000000004</v>
      </c>
      <c r="H52" s="30">
        <f t="shared" si="19"/>
        <v>756.9</v>
      </c>
      <c r="I52" s="31">
        <f t="shared" si="20"/>
        <v>756.9</v>
      </c>
      <c r="J52" s="5">
        <v>1</v>
      </c>
    </row>
    <row r="53" spans="1:11" s="5" customFormat="1" ht="38.25" x14ac:dyDescent="0.25">
      <c r="A53" s="115" t="s">
        <v>241</v>
      </c>
      <c r="B53" s="32" t="s">
        <v>2</v>
      </c>
      <c r="C53" s="33" t="s">
        <v>134</v>
      </c>
      <c r="D53" s="109" t="s">
        <v>135</v>
      </c>
      <c r="E53" s="110" t="s">
        <v>23</v>
      </c>
      <c r="F53" s="111">
        <v>60</v>
      </c>
      <c r="G53" s="29">
        <v>18.18</v>
      </c>
      <c r="H53" s="30">
        <f t="shared" si="19"/>
        <v>23.27</v>
      </c>
      <c r="I53" s="31">
        <f t="shared" si="20"/>
        <v>1396.2</v>
      </c>
      <c r="J53" s="5">
        <v>60</v>
      </c>
    </row>
    <row r="54" spans="1:11" s="5" customFormat="1" ht="38.25" x14ac:dyDescent="0.25">
      <c r="A54" s="115" t="s">
        <v>242</v>
      </c>
      <c r="B54" s="32" t="s">
        <v>2</v>
      </c>
      <c r="C54" s="33" t="s">
        <v>136</v>
      </c>
      <c r="D54" s="109" t="s">
        <v>137</v>
      </c>
      <c r="E54" s="110" t="s">
        <v>23</v>
      </c>
      <c r="F54" s="111">
        <v>30</v>
      </c>
      <c r="G54" s="29">
        <v>20.96</v>
      </c>
      <c r="H54" s="30">
        <f t="shared" si="19"/>
        <v>26.83</v>
      </c>
      <c r="I54" s="31">
        <f t="shared" si="20"/>
        <v>804.9</v>
      </c>
      <c r="J54" s="5">
        <v>30</v>
      </c>
    </row>
    <row r="55" spans="1:11" s="5" customFormat="1" ht="30.75" customHeight="1" x14ac:dyDescent="0.25">
      <c r="A55" s="115" t="s">
        <v>243</v>
      </c>
      <c r="B55" s="32" t="s">
        <v>24</v>
      </c>
      <c r="C55" s="33" t="s">
        <v>175</v>
      </c>
      <c r="D55" s="109" t="s">
        <v>151</v>
      </c>
      <c r="E55" s="116" t="s">
        <v>84</v>
      </c>
      <c r="F55" s="111">
        <v>2</v>
      </c>
      <c r="G55" s="29">
        <v>53.64</v>
      </c>
      <c r="H55" s="30">
        <f t="shared" ref="H55" si="21">ROUND(G55+(G55*$I$8),2)</f>
        <v>68.66</v>
      </c>
      <c r="I55" s="31">
        <f t="shared" ref="I55" si="22">F55*H55</f>
        <v>137.32</v>
      </c>
    </row>
    <row r="56" spans="1:11" s="5" customFormat="1" x14ac:dyDescent="0.25">
      <c r="A56" s="112" t="s">
        <v>244</v>
      </c>
      <c r="B56" s="32"/>
      <c r="C56" s="33"/>
      <c r="D56" s="113" t="s">
        <v>138</v>
      </c>
      <c r="E56" s="110" t="s">
        <v>0</v>
      </c>
      <c r="F56" s="111">
        <v>0</v>
      </c>
      <c r="G56" s="29"/>
      <c r="H56" s="30"/>
      <c r="I56" s="114">
        <f>SUM(I57:I61)</f>
        <v>7947.4199999999992</v>
      </c>
    </row>
    <row r="57" spans="1:11" s="5" customFormat="1" ht="60" customHeight="1" x14ac:dyDescent="0.25">
      <c r="A57" s="115" t="s">
        <v>245</v>
      </c>
      <c r="B57" s="32" t="s">
        <v>24</v>
      </c>
      <c r="C57" s="33" t="s">
        <v>139</v>
      </c>
      <c r="D57" s="109" t="s">
        <v>140</v>
      </c>
      <c r="E57" s="110" t="s">
        <v>84</v>
      </c>
      <c r="F57" s="111">
        <v>6</v>
      </c>
      <c r="G57" s="29">
        <v>500.1</v>
      </c>
      <c r="H57" s="30">
        <f t="shared" ref="H57:H60" si="23">ROUND(G57+(G57*$I$8),2)</f>
        <v>640.13</v>
      </c>
      <c r="I57" s="31">
        <f t="shared" ref="I57:I60" si="24">F57*H57</f>
        <v>3840.7799999999997</v>
      </c>
      <c r="J57" s="5">
        <v>6</v>
      </c>
    </row>
    <row r="58" spans="1:11" s="5" customFormat="1" ht="63.75" x14ac:dyDescent="0.25">
      <c r="A58" s="115" t="s">
        <v>246</v>
      </c>
      <c r="B58" s="32" t="s">
        <v>2</v>
      </c>
      <c r="C58" s="33" t="s">
        <v>141</v>
      </c>
      <c r="D58" s="109" t="s">
        <v>142</v>
      </c>
      <c r="E58" s="110" t="s">
        <v>84</v>
      </c>
      <c r="F58" s="111">
        <v>6</v>
      </c>
      <c r="G58" s="29">
        <v>425.29</v>
      </c>
      <c r="H58" s="30">
        <f t="shared" si="23"/>
        <v>544.37</v>
      </c>
      <c r="I58" s="31">
        <f t="shared" si="24"/>
        <v>3266.2200000000003</v>
      </c>
      <c r="J58" s="5">
        <v>6</v>
      </c>
    </row>
    <row r="59" spans="1:11" s="5" customFormat="1" ht="38.25" x14ac:dyDescent="0.25">
      <c r="A59" s="115" t="s">
        <v>247</v>
      </c>
      <c r="B59" s="32" t="s">
        <v>2</v>
      </c>
      <c r="C59" s="33" t="s">
        <v>143</v>
      </c>
      <c r="D59" s="109" t="s">
        <v>144</v>
      </c>
      <c r="E59" s="110" t="s">
        <v>84</v>
      </c>
      <c r="F59" s="111">
        <v>6</v>
      </c>
      <c r="G59" s="29">
        <v>42.82</v>
      </c>
      <c r="H59" s="30">
        <f t="shared" si="23"/>
        <v>54.81</v>
      </c>
      <c r="I59" s="31">
        <f t="shared" si="24"/>
        <v>328.86</v>
      </c>
      <c r="J59" s="5">
        <v>6</v>
      </c>
    </row>
    <row r="60" spans="1:11" s="5" customFormat="1" ht="37.5" customHeight="1" x14ac:dyDescent="0.25">
      <c r="A60" s="115" t="s">
        <v>248</v>
      </c>
      <c r="B60" s="32" t="s">
        <v>2</v>
      </c>
      <c r="C60" s="33" t="s">
        <v>145</v>
      </c>
      <c r="D60" s="109" t="s">
        <v>146</v>
      </c>
      <c r="E60" s="110" t="s">
        <v>84</v>
      </c>
      <c r="F60" s="111">
        <v>6</v>
      </c>
      <c r="G60" s="29">
        <v>37.729999999999997</v>
      </c>
      <c r="H60" s="30">
        <f t="shared" si="23"/>
        <v>48.29</v>
      </c>
      <c r="I60" s="31">
        <f t="shared" si="24"/>
        <v>289.74</v>
      </c>
      <c r="J60" s="5">
        <v>6</v>
      </c>
    </row>
    <row r="61" spans="1:11" s="5" customFormat="1" ht="34.5" customHeight="1" x14ac:dyDescent="0.25">
      <c r="A61" s="115" t="s">
        <v>249</v>
      </c>
      <c r="B61" s="32" t="s">
        <v>2</v>
      </c>
      <c r="C61" s="33" t="s">
        <v>211</v>
      </c>
      <c r="D61" s="109" t="s">
        <v>210</v>
      </c>
      <c r="E61" s="110" t="s">
        <v>84</v>
      </c>
      <c r="F61" s="111">
        <v>2</v>
      </c>
      <c r="G61" s="29">
        <v>86.65</v>
      </c>
      <c r="H61" s="30">
        <f t="shared" ref="H61" si="25">ROUND(G61+(G61*$I$8),2)</f>
        <v>110.91</v>
      </c>
      <c r="I61" s="31">
        <f t="shared" ref="I61" si="26">F61*H61</f>
        <v>221.82</v>
      </c>
      <c r="J61" s="5">
        <v>2</v>
      </c>
    </row>
    <row r="62" spans="1:11" s="5" customFormat="1" ht="19.5" customHeight="1" x14ac:dyDescent="0.25">
      <c r="A62" s="112" t="s">
        <v>250</v>
      </c>
      <c r="B62" s="32"/>
      <c r="C62" s="33"/>
      <c r="D62" s="113" t="s">
        <v>82</v>
      </c>
      <c r="E62" s="110" t="s">
        <v>0</v>
      </c>
      <c r="F62" s="111">
        <v>0</v>
      </c>
      <c r="G62" s="29"/>
      <c r="H62" s="30"/>
      <c r="I62" s="114">
        <f>SUM(I63:I70)</f>
        <v>6633.58</v>
      </c>
    </row>
    <row r="63" spans="1:11" s="5" customFormat="1" ht="44.25" customHeight="1" x14ac:dyDescent="0.25">
      <c r="A63" s="23" t="s">
        <v>251</v>
      </c>
      <c r="B63" s="32" t="s">
        <v>2</v>
      </c>
      <c r="C63" s="64" t="s">
        <v>97</v>
      </c>
      <c r="D63" s="65" t="s">
        <v>98</v>
      </c>
      <c r="E63" s="25" t="s">
        <v>84</v>
      </c>
      <c r="F63" s="26">
        <v>7</v>
      </c>
      <c r="G63" s="66">
        <v>34.61</v>
      </c>
      <c r="H63" s="27">
        <f t="shared" ref="H63:H70" si="27">ROUND(G63+(G63*$I$8),2)</f>
        <v>44.3</v>
      </c>
      <c r="I63" s="41">
        <f t="shared" ref="I63:I66" si="28">F63*H63</f>
        <v>310.09999999999997</v>
      </c>
      <c r="J63" s="45"/>
      <c r="K63" s="3"/>
    </row>
    <row r="64" spans="1:11" s="5" customFormat="1" ht="43.5" customHeight="1" x14ac:dyDescent="0.25">
      <c r="A64" s="23" t="s">
        <v>252</v>
      </c>
      <c r="B64" s="32" t="s">
        <v>2</v>
      </c>
      <c r="C64" s="64" t="s">
        <v>89</v>
      </c>
      <c r="D64" s="65" t="s">
        <v>90</v>
      </c>
      <c r="E64" s="81" t="s">
        <v>23</v>
      </c>
      <c r="F64" s="82">
        <v>100</v>
      </c>
      <c r="G64" s="91">
        <v>8.82</v>
      </c>
      <c r="H64" s="92">
        <f t="shared" si="27"/>
        <v>11.29</v>
      </c>
      <c r="I64" s="93">
        <f t="shared" si="28"/>
        <v>1129</v>
      </c>
      <c r="J64" s="47"/>
      <c r="K64" s="3"/>
    </row>
    <row r="65" spans="1:11" s="5" customFormat="1" ht="42" customHeight="1" x14ac:dyDescent="0.25">
      <c r="A65" s="23" t="s">
        <v>253</v>
      </c>
      <c r="B65" s="32" t="s">
        <v>2</v>
      </c>
      <c r="C65" s="64" t="s">
        <v>85</v>
      </c>
      <c r="D65" s="65" t="s">
        <v>86</v>
      </c>
      <c r="E65" s="25" t="s">
        <v>23</v>
      </c>
      <c r="F65" s="26">
        <v>100</v>
      </c>
      <c r="G65" s="66">
        <v>3.59</v>
      </c>
      <c r="H65" s="27">
        <f t="shared" si="27"/>
        <v>4.5999999999999996</v>
      </c>
      <c r="I65" s="41">
        <f t="shared" si="28"/>
        <v>459.99999999999994</v>
      </c>
      <c r="J65" s="45"/>
      <c r="K65" s="3"/>
    </row>
    <row r="66" spans="1:11" s="5" customFormat="1" ht="44.25" customHeight="1" x14ac:dyDescent="0.25">
      <c r="A66" s="23" t="s">
        <v>254</v>
      </c>
      <c r="B66" s="32" t="s">
        <v>2</v>
      </c>
      <c r="C66" s="64" t="s">
        <v>87</v>
      </c>
      <c r="D66" s="65" t="s">
        <v>88</v>
      </c>
      <c r="E66" s="25" t="s">
        <v>23</v>
      </c>
      <c r="F66" s="26">
        <v>100</v>
      </c>
      <c r="G66" s="66">
        <v>5.54</v>
      </c>
      <c r="H66" s="27">
        <f t="shared" si="27"/>
        <v>7.09</v>
      </c>
      <c r="I66" s="41">
        <f t="shared" si="28"/>
        <v>709</v>
      </c>
      <c r="J66" s="45"/>
      <c r="K66" s="3"/>
    </row>
    <row r="67" spans="1:11" s="5" customFormat="1" ht="121.5" customHeight="1" x14ac:dyDescent="0.25">
      <c r="A67" s="23" t="s">
        <v>255</v>
      </c>
      <c r="B67" s="32" t="s">
        <v>24</v>
      </c>
      <c r="C67" s="64" t="s">
        <v>95</v>
      </c>
      <c r="D67" s="65" t="s">
        <v>96</v>
      </c>
      <c r="E67" s="25" t="s">
        <v>84</v>
      </c>
      <c r="F67" s="82">
        <v>7</v>
      </c>
      <c r="G67" s="91">
        <v>143.25</v>
      </c>
      <c r="H67" s="92">
        <f t="shared" si="27"/>
        <v>183.36</v>
      </c>
      <c r="I67" s="93">
        <f t="shared" ref="I67:I70" si="29">F67*H67</f>
        <v>1283.52</v>
      </c>
      <c r="J67" s="47"/>
      <c r="K67" s="3"/>
    </row>
    <row r="68" spans="1:11" s="5" customFormat="1" ht="149.25" customHeight="1" x14ac:dyDescent="0.25">
      <c r="A68" s="23" t="s">
        <v>256</v>
      </c>
      <c r="B68" s="32" t="s">
        <v>24</v>
      </c>
      <c r="C68" s="33" t="s">
        <v>93</v>
      </c>
      <c r="D68" s="109" t="s">
        <v>147</v>
      </c>
      <c r="E68" s="110" t="s">
        <v>84</v>
      </c>
      <c r="F68" s="111">
        <v>4</v>
      </c>
      <c r="G68" s="29">
        <v>282.26</v>
      </c>
      <c r="H68" s="30">
        <f t="shared" si="27"/>
        <v>361.29</v>
      </c>
      <c r="I68" s="31">
        <f t="shared" si="29"/>
        <v>1445.16</v>
      </c>
    </row>
    <row r="69" spans="1:11" s="5" customFormat="1" ht="140.25" customHeight="1" x14ac:dyDescent="0.25">
      <c r="A69" s="23" t="s">
        <v>257</v>
      </c>
      <c r="B69" s="32" t="s">
        <v>24</v>
      </c>
      <c r="C69" s="33" t="s">
        <v>91</v>
      </c>
      <c r="D69" s="109" t="s">
        <v>321</v>
      </c>
      <c r="E69" s="110" t="s">
        <v>84</v>
      </c>
      <c r="F69" s="111">
        <v>4</v>
      </c>
      <c r="G69" s="29">
        <v>230.06</v>
      </c>
      <c r="H69" s="30">
        <f t="shared" si="27"/>
        <v>294.48</v>
      </c>
      <c r="I69" s="31">
        <f t="shared" si="29"/>
        <v>1177.92</v>
      </c>
      <c r="J69" s="5">
        <v>4</v>
      </c>
    </row>
    <row r="70" spans="1:11" s="5" customFormat="1" ht="47.25" customHeight="1" x14ac:dyDescent="0.25">
      <c r="A70" s="23" t="s">
        <v>258</v>
      </c>
      <c r="B70" s="32" t="s">
        <v>2</v>
      </c>
      <c r="C70" s="33" t="s">
        <v>148</v>
      </c>
      <c r="D70" s="109" t="s">
        <v>149</v>
      </c>
      <c r="E70" s="110" t="s">
        <v>84</v>
      </c>
      <c r="F70" s="111">
        <v>4</v>
      </c>
      <c r="G70" s="29">
        <v>23.22</v>
      </c>
      <c r="H70" s="30">
        <f t="shared" si="27"/>
        <v>29.72</v>
      </c>
      <c r="I70" s="31">
        <f t="shared" si="29"/>
        <v>118.88</v>
      </c>
    </row>
    <row r="71" spans="1:11" s="5" customFormat="1" x14ac:dyDescent="0.25">
      <c r="A71" s="112" t="s">
        <v>259</v>
      </c>
      <c r="B71" s="32"/>
      <c r="C71" s="33"/>
      <c r="D71" s="113" t="s">
        <v>69</v>
      </c>
      <c r="E71" s="110" t="s">
        <v>0</v>
      </c>
      <c r="F71" s="111">
        <v>0</v>
      </c>
      <c r="G71" s="29"/>
      <c r="H71" s="30"/>
      <c r="I71" s="114">
        <f>SUM(I72:I75)</f>
        <v>13483.816000000001</v>
      </c>
    </row>
    <row r="72" spans="1:11" s="5" customFormat="1" ht="35.25" customHeight="1" x14ac:dyDescent="0.25">
      <c r="A72" s="23" t="s">
        <v>260</v>
      </c>
      <c r="B72" s="118" t="s">
        <v>24</v>
      </c>
      <c r="C72" s="134" t="s">
        <v>166</v>
      </c>
      <c r="D72" s="135" t="s">
        <v>155</v>
      </c>
      <c r="E72" s="25" t="s">
        <v>3</v>
      </c>
      <c r="F72" s="26">
        <v>35</v>
      </c>
      <c r="G72" s="66">
        <v>140.19</v>
      </c>
      <c r="H72" s="27">
        <f t="shared" ref="H72:H75" si="30">ROUND(G72+(G72*$I$8),2)</f>
        <v>179.44</v>
      </c>
      <c r="I72" s="41">
        <f t="shared" ref="I72:I75" si="31">F72*H72</f>
        <v>6280.4</v>
      </c>
      <c r="J72" s="45">
        <v>35</v>
      </c>
      <c r="K72" s="3"/>
    </row>
    <row r="73" spans="1:11" s="5" customFormat="1" ht="34.5" customHeight="1" x14ac:dyDescent="0.25">
      <c r="A73" s="23" t="s">
        <v>261</v>
      </c>
      <c r="B73" s="118" t="s">
        <v>24</v>
      </c>
      <c r="C73" s="134" t="s">
        <v>167</v>
      </c>
      <c r="D73" s="135" t="s">
        <v>156</v>
      </c>
      <c r="E73" s="81" t="s">
        <v>3</v>
      </c>
      <c r="F73" s="82">
        <v>35</v>
      </c>
      <c r="G73" s="91">
        <v>95.16</v>
      </c>
      <c r="H73" s="92">
        <f t="shared" si="30"/>
        <v>121.8</v>
      </c>
      <c r="I73" s="93">
        <f t="shared" si="31"/>
        <v>4263</v>
      </c>
      <c r="J73" s="45">
        <v>35</v>
      </c>
      <c r="K73" s="3"/>
    </row>
    <row r="74" spans="1:11" s="5" customFormat="1" ht="42.75" customHeight="1" x14ac:dyDescent="0.25">
      <c r="A74" s="23" t="s">
        <v>262</v>
      </c>
      <c r="B74" s="32" t="s">
        <v>2</v>
      </c>
      <c r="C74" s="33" t="s">
        <v>71</v>
      </c>
      <c r="D74" s="109" t="s">
        <v>70</v>
      </c>
      <c r="E74" s="110" t="s">
        <v>23</v>
      </c>
      <c r="F74" s="111">
        <v>20.8</v>
      </c>
      <c r="G74" s="29">
        <v>97.32</v>
      </c>
      <c r="H74" s="30">
        <f t="shared" si="30"/>
        <v>124.57</v>
      </c>
      <c r="I74" s="31">
        <f t="shared" si="31"/>
        <v>2591.056</v>
      </c>
      <c r="J74" s="101">
        <f>10.4*2</f>
        <v>20.8</v>
      </c>
    </row>
    <row r="75" spans="1:11" s="5" customFormat="1" ht="40.5" customHeight="1" x14ac:dyDescent="0.25">
      <c r="A75" s="23" t="s">
        <v>263</v>
      </c>
      <c r="B75" s="32" t="s">
        <v>2</v>
      </c>
      <c r="C75" s="33" t="s">
        <v>74</v>
      </c>
      <c r="D75" s="109" t="s">
        <v>75</v>
      </c>
      <c r="E75" s="110" t="s">
        <v>23</v>
      </c>
      <c r="F75" s="111">
        <v>8</v>
      </c>
      <c r="G75" s="29">
        <v>34.119999999999997</v>
      </c>
      <c r="H75" s="30">
        <f t="shared" si="30"/>
        <v>43.67</v>
      </c>
      <c r="I75" s="31">
        <f t="shared" si="31"/>
        <v>349.36</v>
      </c>
      <c r="J75" s="101">
        <f>4*2</f>
        <v>8</v>
      </c>
    </row>
    <row r="76" spans="1:11" s="5" customFormat="1" x14ac:dyDescent="0.25">
      <c r="A76" s="112" t="s">
        <v>264</v>
      </c>
      <c r="B76" s="32"/>
      <c r="C76" s="33"/>
      <c r="D76" s="113" t="s">
        <v>150</v>
      </c>
      <c r="E76" s="110"/>
      <c r="F76" s="111">
        <v>0</v>
      </c>
      <c r="G76" s="29"/>
      <c r="H76" s="30"/>
      <c r="I76" s="114">
        <f>SUM(I77:I78)</f>
        <v>3142.6</v>
      </c>
      <c r="J76" s="99"/>
    </row>
    <row r="77" spans="1:11" s="5" customFormat="1" ht="29.25" customHeight="1" x14ac:dyDescent="0.25">
      <c r="A77" s="115" t="s">
        <v>265</v>
      </c>
      <c r="B77" s="32" t="s">
        <v>2</v>
      </c>
      <c r="C77" s="33" t="s">
        <v>29</v>
      </c>
      <c r="D77" s="109" t="s">
        <v>42</v>
      </c>
      <c r="E77" s="110" t="s">
        <v>3</v>
      </c>
      <c r="F77" s="111">
        <v>165.4</v>
      </c>
      <c r="G77" s="29">
        <v>3.89</v>
      </c>
      <c r="H77" s="30">
        <f t="shared" ref="H77:H78" si="32">ROUND(G77+(G77*$I$8),2)</f>
        <v>4.9800000000000004</v>
      </c>
      <c r="I77" s="31">
        <f t="shared" ref="I77:I78" si="33">F77*H77</f>
        <v>823.69200000000012</v>
      </c>
      <c r="J77" s="99">
        <f>(((9*2)+(7*2))*3.2)+63</f>
        <v>165.4</v>
      </c>
    </row>
    <row r="78" spans="1:11" s="5" customFormat="1" ht="33" customHeight="1" x14ac:dyDescent="0.25">
      <c r="A78" s="115" t="s">
        <v>266</v>
      </c>
      <c r="B78" s="48" t="s">
        <v>2</v>
      </c>
      <c r="C78" s="141" t="s">
        <v>30</v>
      </c>
      <c r="D78" s="142" t="s">
        <v>43</v>
      </c>
      <c r="E78" s="143" t="s">
        <v>3</v>
      </c>
      <c r="F78" s="144">
        <v>165.4</v>
      </c>
      <c r="G78" s="52">
        <v>10.95</v>
      </c>
      <c r="H78" s="53">
        <f t="shared" si="32"/>
        <v>14.02</v>
      </c>
      <c r="I78" s="54">
        <f t="shared" si="33"/>
        <v>2318.9079999999999</v>
      </c>
      <c r="J78" s="99">
        <f>(((9*2)+(7*2))*3.2)+63</f>
        <v>165.4</v>
      </c>
    </row>
    <row r="79" spans="1:11" s="5" customFormat="1" ht="17.25" customHeight="1" x14ac:dyDescent="0.25">
      <c r="A79" s="170" t="s">
        <v>153</v>
      </c>
      <c r="B79" s="171"/>
      <c r="C79" s="171"/>
      <c r="D79" s="171"/>
      <c r="E79" s="171"/>
      <c r="F79" s="171"/>
      <c r="G79" s="171"/>
      <c r="H79" s="171"/>
      <c r="I79" s="128">
        <f>SUM(I19+I31+I34+I39+I48+I56+I62+I71+I76)</f>
        <v>240811.75040000002</v>
      </c>
      <c r="J79" s="45"/>
      <c r="K79" s="3"/>
    </row>
    <row r="80" spans="1:11" s="5" customFormat="1" ht="12" customHeight="1" x14ac:dyDescent="0.25">
      <c r="A80" s="126"/>
      <c r="B80" s="127"/>
      <c r="C80" s="127"/>
      <c r="D80" s="127"/>
      <c r="E80" s="127"/>
      <c r="F80" s="127"/>
      <c r="G80" s="127"/>
      <c r="H80" s="127"/>
      <c r="I80" s="128"/>
      <c r="J80" s="45"/>
      <c r="K80" s="3"/>
    </row>
    <row r="81" spans="1:12" s="5" customFormat="1" ht="15" customHeight="1" x14ac:dyDescent="0.25">
      <c r="A81" s="67" t="s">
        <v>53</v>
      </c>
      <c r="B81" s="87"/>
      <c r="C81" s="88"/>
      <c r="D81" s="89" t="s">
        <v>184</v>
      </c>
      <c r="E81" s="71"/>
      <c r="F81" s="72"/>
      <c r="G81" s="73"/>
      <c r="H81" s="74"/>
      <c r="I81" s="75"/>
      <c r="J81" s="102" t="s">
        <v>185</v>
      </c>
      <c r="K81" s="3"/>
    </row>
    <row r="82" spans="1:12" s="5" customFormat="1" ht="15" customHeight="1" x14ac:dyDescent="0.25">
      <c r="A82" s="67" t="s">
        <v>58</v>
      </c>
      <c r="B82" s="87"/>
      <c r="C82" s="88"/>
      <c r="D82" s="89" t="s">
        <v>119</v>
      </c>
      <c r="E82" s="71"/>
      <c r="F82" s="72"/>
      <c r="G82" s="73"/>
      <c r="H82" s="74"/>
      <c r="I82" s="75">
        <f>SUM(I83:I93)</f>
        <v>121868.54220000001</v>
      </c>
      <c r="J82" s="102"/>
      <c r="K82" s="3"/>
    </row>
    <row r="83" spans="1:12" s="5" customFormat="1" ht="42.75" customHeight="1" x14ac:dyDescent="0.25">
      <c r="A83" s="23" t="s">
        <v>267</v>
      </c>
      <c r="B83" s="32" t="s">
        <v>2</v>
      </c>
      <c r="C83" s="33" t="s">
        <v>25</v>
      </c>
      <c r="D83" s="34" t="s">
        <v>48</v>
      </c>
      <c r="E83" s="35" t="s">
        <v>23</v>
      </c>
      <c r="F83" s="36">
        <v>120</v>
      </c>
      <c r="G83" s="39">
        <v>55.63</v>
      </c>
      <c r="H83" s="30">
        <f>ROUND(G83+(G83*$I$8),2)</f>
        <v>71.209999999999994</v>
      </c>
      <c r="I83" s="31">
        <f t="shared" ref="I83:I93" si="34">F83*H83</f>
        <v>8545.1999999999989</v>
      </c>
      <c r="J83" s="95">
        <f>(20*6)</f>
        <v>120</v>
      </c>
      <c r="K83" s="3"/>
    </row>
    <row r="84" spans="1:12" s="5" customFormat="1" ht="42" customHeight="1" x14ac:dyDescent="0.25">
      <c r="A84" s="23" t="s">
        <v>268</v>
      </c>
      <c r="B84" s="32" t="s">
        <v>2</v>
      </c>
      <c r="C84" s="33" t="s">
        <v>38</v>
      </c>
      <c r="D84" s="34" t="s">
        <v>39</v>
      </c>
      <c r="E84" s="35" t="s">
        <v>3</v>
      </c>
      <c r="F84" s="36">
        <v>111.36</v>
      </c>
      <c r="G84" s="29">
        <v>91.46</v>
      </c>
      <c r="H84" s="30">
        <f>ROUND(G84+(G84*$I$8),2)</f>
        <v>117.07</v>
      </c>
      <c r="I84" s="31">
        <f t="shared" si="34"/>
        <v>13036.915199999999</v>
      </c>
      <c r="J84" s="131">
        <f>((10.4*0.4*2)*5)+((13.8*0.4*2)*4)+((0.25*2*3.2)*16)</f>
        <v>111.36000000000001</v>
      </c>
      <c r="K84" s="3"/>
    </row>
    <row r="85" spans="1:12" s="5" customFormat="1" ht="45" customHeight="1" x14ac:dyDescent="0.25">
      <c r="A85" s="23" t="s">
        <v>269</v>
      </c>
      <c r="B85" s="32" t="s">
        <v>2</v>
      </c>
      <c r="C85" s="33" t="s">
        <v>34</v>
      </c>
      <c r="D85" s="34" t="s">
        <v>35</v>
      </c>
      <c r="E85" s="35" t="s">
        <v>26</v>
      </c>
      <c r="F85" s="36">
        <v>1050</v>
      </c>
      <c r="G85" s="29">
        <v>10.68</v>
      </c>
      <c r="H85" s="30">
        <f t="shared" ref="H85:H89" si="35">ROUND(G85+(G85*$I$8),2)</f>
        <v>13.67</v>
      </c>
      <c r="I85" s="31">
        <f t="shared" si="34"/>
        <v>14353.5</v>
      </c>
      <c r="J85" s="131">
        <f>10.5*100</f>
        <v>1050</v>
      </c>
      <c r="K85" s="3"/>
    </row>
    <row r="86" spans="1:12" s="5" customFormat="1" ht="54.75" customHeight="1" x14ac:dyDescent="0.25">
      <c r="A86" s="23" t="s">
        <v>270</v>
      </c>
      <c r="B86" s="57" t="s">
        <v>2</v>
      </c>
      <c r="C86" s="58" t="s">
        <v>160</v>
      </c>
      <c r="D86" s="76" t="s">
        <v>159</v>
      </c>
      <c r="E86" s="59" t="s">
        <v>17</v>
      </c>
      <c r="F86" s="60">
        <v>10.5</v>
      </c>
      <c r="G86" s="61">
        <v>744.85</v>
      </c>
      <c r="H86" s="62">
        <f t="shared" si="35"/>
        <v>953.41</v>
      </c>
      <c r="I86" s="63">
        <f t="shared" si="34"/>
        <v>10010.805</v>
      </c>
      <c r="J86" s="131">
        <f>((10.4*0.2*0.4)*5)+((13.8*0.2*0.4)*4)+((0.15*0.25*3.2)*16)</f>
        <v>10.496</v>
      </c>
      <c r="K86" s="3"/>
      <c r="L86" s="10"/>
    </row>
    <row r="87" spans="1:12" s="5" customFormat="1" ht="36" customHeight="1" x14ac:dyDescent="0.25">
      <c r="A87" s="23" t="s">
        <v>271</v>
      </c>
      <c r="B87" s="32" t="s">
        <v>24</v>
      </c>
      <c r="C87" s="78" t="s">
        <v>161</v>
      </c>
      <c r="D87" s="80" t="s">
        <v>154</v>
      </c>
      <c r="E87" s="35" t="s">
        <v>3</v>
      </c>
      <c r="F87" s="125">
        <v>85.76</v>
      </c>
      <c r="G87" s="29">
        <v>51.67</v>
      </c>
      <c r="H87" s="30">
        <f t="shared" si="35"/>
        <v>66.14</v>
      </c>
      <c r="I87" s="31">
        <f t="shared" si="34"/>
        <v>5672.1664000000001</v>
      </c>
      <c r="J87" s="46">
        <f>((10.4*0.4*2)*5)+((13.8*0.4*2)*4)</f>
        <v>85.76</v>
      </c>
      <c r="K87" s="3"/>
    </row>
    <row r="88" spans="1:12" s="5" customFormat="1" ht="55.5" customHeight="1" x14ac:dyDescent="0.25">
      <c r="A88" s="23" t="s">
        <v>272</v>
      </c>
      <c r="B88" s="145" t="s">
        <v>24</v>
      </c>
      <c r="C88" s="105" t="s">
        <v>195</v>
      </c>
      <c r="D88" s="146" t="s">
        <v>194</v>
      </c>
      <c r="E88" s="59" t="s">
        <v>17</v>
      </c>
      <c r="F88" s="60">
        <v>50.6</v>
      </c>
      <c r="G88" s="61">
        <v>92.63</v>
      </c>
      <c r="H88" s="62">
        <f t="shared" si="35"/>
        <v>118.57</v>
      </c>
      <c r="I88" s="63">
        <f t="shared" si="34"/>
        <v>5999.6419999999998</v>
      </c>
      <c r="J88" s="85">
        <f>((3*3)+(10.4*4))*1</f>
        <v>50.6</v>
      </c>
      <c r="K88" s="3"/>
      <c r="L88" s="10"/>
    </row>
    <row r="89" spans="1:12" s="5" customFormat="1" ht="57" customHeight="1" x14ac:dyDescent="0.25">
      <c r="A89" s="23" t="s">
        <v>273</v>
      </c>
      <c r="B89" s="32" t="s">
        <v>2</v>
      </c>
      <c r="C89" s="78" t="s">
        <v>45</v>
      </c>
      <c r="D89" s="79" t="s">
        <v>46</v>
      </c>
      <c r="E89" s="25" t="s">
        <v>3</v>
      </c>
      <c r="F89" s="26">
        <v>138.24</v>
      </c>
      <c r="G89" s="66">
        <v>88</v>
      </c>
      <c r="H89" s="27">
        <f t="shared" si="35"/>
        <v>112.64</v>
      </c>
      <c r="I89" s="41">
        <f t="shared" si="34"/>
        <v>15571.3536</v>
      </c>
      <c r="J89" s="94">
        <f>(10.4*3*3.2)+(6*2*3.2)</f>
        <v>138.24</v>
      </c>
      <c r="K89" s="3"/>
    </row>
    <row r="90" spans="1:12" s="5" customFormat="1" ht="30.75" customHeight="1" x14ac:dyDescent="0.25">
      <c r="A90" s="23" t="s">
        <v>274</v>
      </c>
      <c r="B90" s="32" t="s">
        <v>2</v>
      </c>
      <c r="C90" s="33" t="s">
        <v>21</v>
      </c>
      <c r="D90" s="34" t="s">
        <v>22</v>
      </c>
      <c r="E90" s="35" t="s">
        <v>23</v>
      </c>
      <c r="F90" s="36">
        <v>129.6</v>
      </c>
      <c r="G90" s="39">
        <v>36.619999999999997</v>
      </c>
      <c r="H90" s="30">
        <f>ROUND(G90+(G90*$I$8),2)</f>
        <v>46.87</v>
      </c>
      <c r="I90" s="31">
        <f t="shared" si="34"/>
        <v>6074.351999999999</v>
      </c>
      <c r="J90" s="46">
        <f>(((10.4*3)+(6*2))*2)+43.2</f>
        <v>129.60000000000002</v>
      </c>
      <c r="K90" s="3"/>
    </row>
    <row r="91" spans="1:12" s="5" customFormat="1" ht="59.25" customHeight="1" x14ac:dyDescent="0.25">
      <c r="A91" s="23" t="s">
        <v>275</v>
      </c>
      <c r="B91" s="32" t="s">
        <v>2</v>
      </c>
      <c r="C91" s="33" t="s">
        <v>164</v>
      </c>
      <c r="D91" s="34" t="s">
        <v>165</v>
      </c>
      <c r="E91" s="35" t="s">
        <v>3</v>
      </c>
      <c r="F91" s="36">
        <v>420</v>
      </c>
      <c r="G91" s="29">
        <v>8.5500000000000007</v>
      </c>
      <c r="H91" s="30">
        <f t="shared" ref="H91:H93" si="36">ROUND(G91+(G91*$I$8),2)</f>
        <v>10.94</v>
      </c>
      <c r="I91" s="31">
        <f t="shared" si="34"/>
        <v>4594.8</v>
      </c>
      <c r="J91" s="94">
        <f>(138.24*2)+(10.4*13.8)</f>
        <v>420</v>
      </c>
      <c r="K91" s="3" t="s">
        <v>186</v>
      </c>
    </row>
    <row r="92" spans="1:12" s="5" customFormat="1" ht="69.75" customHeight="1" x14ac:dyDescent="0.25">
      <c r="A92" s="23" t="s">
        <v>276</v>
      </c>
      <c r="B92" s="32" t="s">
        <v>2</v>
      </c>
      <c r="C92" s="33" t="s">
        <v>27</v>
      </c>
      <c r="D92" s="34" t="s">
        <v>28</v>
      </c>
      <c r="E92" s="35" t="s">
        <v>3</v>
      </c>
      <c r="F92" s="36">
        <v>420</v>
      </c>
      <c r="G92" s="29">
        <v>35.69</v>
      </c>
      <c r="H92" s="30">
        <f t="shared" si="36"/>
        <v>45.68</v>
      </c>
      <c r="I92" s="31">
        <f t="shared" si="34"/>
        <v>19185.599999999999</v>
      </c>
      <c r="J92" s="94">
        <f>(138.24*2)+(10.4*13.8)</f>
        <v>420</v>
      </c>
      <c r="K92" s="3"/>
    </row>
    <row r="93" spans="1:12" s="5" customFormat="1" ht="58.5" customHeight="1" x14ac:dyDescent="0.25">
      <c r="A93" s="23" t="s">
        <v>277</v>
      </c>
      <c r="B93" s="32" t="s">
        <v>2</v>
      </c>
      <c r="C93" s="78" t="s">
        <v>55</v>
      </c>
      <c r="D93" s="80" t="s">
        <v>54</v>
      </c>
      <c r="E93" s="25" t="s">
        <v>3</v>
      </c>
      <c r="F93" s="26">
        <v>62.4</v>
      </c>
      <c r="G93" s="66">
        <v>235.68</v>
      </c>
      <c r="H93" s="27">
        <f t="shared" si="36"/>
        <v>301.67</v>
      </c>
      <c r="I93" s="41">
        <f t="shared" si="34"/>
        <v>18824.208000000002</v>
      </c>
      <c r="J93" s="45">
        <f>10.4*6</f>
        <v>62.400000000000006</v>
      </c>
      <c r="K93" s="3"/>
      <c r="L93" s="10"/>
    </row>
    <row r="94" spans="1:12" s="5" customFormat="1" ht="15" customHeight="1" x14ac:dyDescent="0.25">
      <c r="A94" s="67" t="s">
        <v>59</v>
      </c>
      <c r="B94" s="68"/>
      <c r="C94" s="69"/>
      <c r="D94" s="70" t="s">
        <v>114</v>
      </c>
      <c r="E94" s="71"/>
      <c r="F94" s="72"/>
      <c r="G94" s="73"/>
      <c r="H94" s="74"/>
      <c r="I94" s="75">
        <f>SUM(I95:I96)</f>
        <v>49312.402400000006</v>
      </c>
      <c r="J94" s="45"/>
      <c r="K94" s="3"/>
      <c r="L94" s="10"/>
    </row>
    <row r="95" spans="1:12" s="5" customFormat="1" ht="58.5" customHeight="1" x14ac:dyDescent="0.25">
      <c r="A95" s="23" t="s">
        <v>278</v>
      </c>
      <c r="B95" s="32" t="s">
        <v>2</v>
      </c>
      <c r="C95" s="78" t="s">
        <v>62</v>
      </c>
      <c r="D95" s="80" t="s">
        <v>63</v>
      </c>
      <c r="E95" s="25" t="s">
        <v>3</v>
      </c>
      <c r="F95" s="26">
        <v>143.52000000000001</v>
      </c>
      <c r="G95" s="66">
        <v>221.97</v>
      </c>
      <c r="H95" s="27">
        <f t="shared" ref="H95" si="37">ROUND(G95+(G95*$I$8),2)</f>
        <v>284.12</v>
      </c>
      <c r="I95" s="41">
        <f t="shared" ref="I95:I96" si="38">F95*H95</f>
        <v>40776.902400000006</v>
      </c>
      <c r="J95" s="45">
        <f t="shared" ref="J95" si="39">10.4*13.8</f>
        <v>143.52000000000001</v>
      </c>
      <c r="K95" s="3"/>
      <c r="L95" s="10"/>
    </row>
    <row r="96" spans="1:12" s="5" customFormat="1" ht="36" customHeight="1" x14ac:dyDescent="0.25">
      <c r="A96" s="23" t="s">
        <v>279</v>
      </c>
      <c r="B96" s="57" t="s">
        <v>2</v>
      </c>
      <c r="C96" s="58" t="s">
        <v>57</v>
      </c>
      <c r="D96" s="76" t="s">
        <v>56</v>
      </c>
      <c r="E96" s="59" t="s">
        <v>23</v>
      </c>
      <c r="F96" s="60">
        <v>430</v>
      </c>
      <c r="G96" s="77">
        <v>15.51</v>
      </c>
      <c r="H96" s="62">
        <f>ROUND(G96+(G96*$I$8),2)</f>
        <v>19.850000000000001</v>
      </c>
      <c r="I96" s="63">
        <f t="shared" si="38"/>
        <v>8535.5</v>
      </c>
      <c r="J96" s="46">
        <f>143.52*3</f>
        <v>430.56000000000006</v>
      </c>
      <c r="K96" s="3"/>
    </row>
    <row r="97" spans="1:12" s="5" customFormat="1" ht="15" customHeight="1" x14ac:dyDescent="0.25">
      <c r="A97" s="67" t="s">
        <v>125</v>
      </c>
      <c r="B97" s="68"/>
      <c r="C97" s="69"/>
      <c r="D97" s="70" t="s">
        <v>64</v>
      </c>
      <c r="E97" s="71"/>
      <c r="F97" s="72"/>
      <c r="G97" s="73"/>
      <c r="H97" s="74"/>
      <c r="I97" s="75">
        <f>SUM(I98:I101)</f>
        <v>34507.255199999992</v>
      </c>
      <c r="J97" s="47"/>
      <c r="K97" s="3"/>
      <c r="L97" s="10"/>
    </row>
    <row r="98" spans="1:12" s="5" customFormat="1" ht="35.25" customHeight="1" x14ac:dyDescent="0.25">
      <c r="A98" s="23" t="s">
        <v>280</v>
      </c>
      <c r="B98" s="32" t="s">
        <v>2</v>
      </c>
      <c r="C98" s="64" t="s">
        <v>66</v>
      </c>
      <c r="D98" s="65" t="s">
        <v>65</v>
      </c>
      <c r="E98" s="25" t="s">
        <v>3</v>
      </c>
      <c r="F98" s="26">
        <v>143.52000000000001</v>
      </c>
      <c r="G98" s="66">
        <v>78.42</v>
      </c>
      <c r="H98" s="27">
        <f t="shared" ref="H98:H101" si="40">ROUND(G98+(G98*$I$8),2)</f>
        <v>100.38</v>
      </c>
      <c r="I98" s="41">
        <f t="shared" ref="I98:I101" si="41">F98*H98</f>
        <v>14406.5376</v>
      </c>
      <c r="J98" s="94">
        <f>10.4*13.8</f>
        <v>143.52000000000001</v>
      </c>
      <c r="K98" s="3"/>
    </row>
    <row r="99" spans="1:12" s="5" customFormat="1" ht="78" customHeight="1" x14ac:dyDescent="0.25">
      <c r="A99" s="23" t="s">
        <v>281</v>
      </c>
      <c r="B99" s="57" t="s">
        <v>2</v>
      </c>
      <c r="C99" s="90" t="s">
        <v>68</v>
      </c>
      <c r="D99" s="65" t="s">
        <v>67</v>
      </c>
      <c r="E99" s="81" t="s">
        <v>3</v>
      </c>
      <c r="F99" s="26">
        <v>143.52000000000001</v>
      </c>
      <c r="G99" s="66">
        <v>47</v>
      </c>
      <c r="H99" s="27">
        <f t="shared" si="40"/>
        <v>60.16</v>
      </c>
      <c r="I99" s="41">
        <f t="shared" si="41"/>
        <v>8634.1632000000009</v>
      </c>
      <c r="J99" s="94">
        <f>10.4*13.8</f>
        <v>143.52000000000001</v>
      </c>
      <c r="K99" s="3"/>
    </row>
    <row r="100" spans="1:12" s="5" customFormat="1" ht="58.5" customHeight="1" x14ac:dyDescent="0.25">
      <c r="A100" s="133" t="s">
        <v>282</v>
      </c>
      <c r="B100" s="156" t="s">
        <v>2</v>
      </c>
      <c r="C100" s="105" t="s">
        <v>318</v>
      </c>
      <c r="D100" s="157" t="s">
        <v>317</v>
      </c>
      <c r="E100" s="59" t="s">
        <v>3</v>
      </c>
      <c r="F100" s="60">
        <v>143.52000000000001</v>
      </c>
      <c r="G100" s="61">
        <v>56.11</v>
      </c>
      <c r="H100" s="62">
        <f t="shared" si="40"/>
        <v>71.819999999999993</v>
      </c>
      <c r="I100" s="63">
        <f t="shared" si="41"/>
        <v>10307.606400000001</v>
      </c>
      <c r="J100" s="94">
        <f>10.4*13.8</f>
        <v>143.52000000000001</v>
      </c>
      <c r="K100" s="3"/>
    </row>
    <row r="101" spans="1:12" s="5" customFormat="1" ht="43.5" customHeight="1" x14ac:dyDescent="0.25">
      <c r="A101" s="23" t="s">
        <v>283</v>
      </c>
      <c r="B101" s="86" t="s">
        <v>2</v>
      </c>
      <c r="C101" s="58" t="s">
        <v>99</v>
      </c>
      <c r="D101" s="37" t="s">
        <v>100</v>
      </c>
      <c r="E101" s="59" t="s">
        <v>23</v>
      </c>
      <c r="F101" s="60">
        <v>58.8</v>
      </c>
      <c r="G101" s="61">
        <v>15.4</v>
      </c>
      <c r="H101" s="62">
        <f t="shared" si="40"/>
        <v>19.71</v>
      </c>
      <c r="I101" s="63">
        <f t="shared" si="41"/>
        <v>1158.9480000000001</v>
      </c>
      <c r="J101" s="94">
        <f>(10.4*3)+(13.8*2)</f>
        <v>58.800000000000004</v>
      </c>
      <c r="K101" s="3"/>
    </row>
    <row r="102" spans="1:12" s="5" customFormat="1" x14ac:dyDescent="0.25">
      <c r="A102" s="112" t="s">
        <v>126</v>
      </c>
      <c r="B102" s="32"/>
      <c r="C102" s="33"/>
      <c r="D102" s="113" t="s">
        <v>83</v>
      </c>
      <c r="E102" s="110" t="s">
        <v>0</v>
      </c>
      <c r="F102" s="111">
        <v>0</v>
      </c>
      <c r="G102" s="29"/>
      <c r="H102" s="30"/>
      <c r="I102" s="114">
        <f>SUM(I103:I112)</f>
        <v>5467.4879999999985</v>
      </c>
    </row>
    <row r="103" spans="1:12" s="5" customFormat="1" ht="76.5" x14ac:dyDescent="0.25">
      <c r="A103" s="115" t="s">
        <v>284</v>
      </c>
      <c r="B103" s="32" t="s">
        <v>24</v>
      </c>
      <c r="C103" s="33" t="s">
        <v>109</v>
      </c>
      <c r="D103" s="109" t="s">
        <v>110</v>
      </c>
      <c r="E103" s="110" t="s">
        <v>84</v>
      </c>
      <c r="F103" s="111">
        <v>3</v>
      </c>
      <c r="G103" s="29">
        <v>124.35</v>
      </c>
      <c r="H103" s="30">
        <f t="shared" ref="H103:H108" si="42">ROUND(G103+(G103*$I$8),2)</f>
        <v>159.16999999999999</v>
      </c>
      <c r="I103" s="31">
        <f t="shared" ref="I103:I108" si="43">F103*H103</f>
        <v>477.51</v>
      </c>
      <c r="J103" s="100">
        <v>3</v>
      </c>
    </row>
    <row r="104" spans="1:12" s="5" customFormat="1" ht="89.25" customHeight="1" x14ac:dyDescent="0.25">
      <c r="A104" s="115" t="s">
        <v>285</v>
      </c>
      <c r="B104" s="32" t="s">
        <v>24</v>
      </c>
      <c r="C104" s="33" t="s">
        <v>188</v>
      </c>
      <c r="D104" s="109" t="s">
        <v>189</v>
      </c>
      <c r="E104" s="110" t="s">
        <v>84</v>
      </c>
      <c r="F104" s="111">
        <v>3</v>
      </c>
      <c r="G104" s="29">
        <v>200.75</v>
      </c>
      <c r="H104" s="30">
        <f t="shared" si="42"/>
        <v>256.95999999999998</v>
      </c>
      <c r="I104" s="31">
        <f t="shared" si="43"/>
        <v>770.87999999999988</v>
      </c>
      <c r="J104" s="100">
        <v>3</v>
      </c>
    </row>
    <row r="105" spans="1:12" s="5" customFormat="1" ht="38.25" x14ac:dyDescent="0.25">
      <c r="A105" s="115" t="s">
        <v>286</v>
      </c>
      <c r="B105" s="32" t="s">
        <v>2</v>
      </c>
      <c r="C105" s="33" t="s">
        <v>132</v>
      </c>
      <c r="D105" s="109" t="s">
        <v>133</v>
      </c>
      <c r="E105" s="110" t="s">
        <v>84</v>
      </c>
      <c r="F105" s="111">
        <v>1</v>
      </c>
      <c r="G105" s="29">
        <v>591.33000000000004</v>
      </c>
      <c r="H105" s="30">
        <f t="shared" si="42"/>
        <v>756.9</v>
      </c>
      <c r="I105" s="31">
        <f t="shared" si="43"/>
        <v>756.9</v>
      </c>
      <c r="J105" s="5">
        <v>1</v>
      </c>
    </row>
    <row r="106" spans="1:12" s="5" customFormat="1" ht="38.25" x14ac:dyDescent="0.25">
      <c r="A106" s="115" t="s">
        <v>287</v>
      </c>
      <c r="B106" s="32" t="s">
        <v>2</v>
      </c>
      <c r="C106" s="33" t="s">
        <v>134</v>
      </c>
      <c r="D106" s="109" t="s">
        <v>135</v>
      </c>
      <c r="E106" s="110" t="s">
        <v>23</v>
      </c>
      <c r="F106" s="111">
        <v>60</v>
      </c>
      <c r="G106" s="29">
        <v>18.18</v>
      </c>
      <c r="H106" s="30">
        <f t="shared" si="42"/>
        <v>23.27</v>
      </c>
      <c r="I106" s="31">
        <f t="shared" si="43"/>
        <v>1396.2</v>
      </c>
      <c r="J106" s="5">
        <v>60</v>
      </c>
    </row>
    <row r="107" spans="1:12" s="5" customFormat="1" ht="38.25" x14ac:dyDescent="0.25">
      <c r="A107" s="115" t="s">
        <v>288</v>
      </c>
      <c r="B107" s="32" t="s">
        <v>2</v>
      </c>
      <c r="C107" s="33" t="s">
        <v>136</v>
      </c>
      <c r="D107" s="109" t="s">
        <v>137</v>
      </c>
      <c r="E107" s="110" t="s">
        <v>23</v>
      </c>
      <c r="F107" s="111">
        <v>30</v>
      </c>
      <c r="G107" s="29">
        <v>20.96</v>
      </c>
      <c r="H107" s="30">
        <f t="shared" si="42"/>
        <v>26.83</v>
      </c>
      <c r="I107" s="31">
        <f t="shared" si="43"/>
        <v>804.9</v>
      </c>
      <c r="J107" s="5">
        <v>30</v>
      </c>
    </row>
    <row r="108" spans="1:12" s="5" customFormat="1" ht="30.75" customHeight="1" x14ac:dyDescent="0.25">
      <c r="A108" s="115" t="s">
        <v>289</v>
      </c>
      <c r="B108" s="32" t="s">
        <v>24</v>
      </c>
      <c r="C108" s="33" t="s">
        <v>175</v>
      </c>
      <c r="D108" s="109" t="s">
        <v>151</v>
      </c>
      <c r="E108" s="116" t="s">
        <v>84</v>
      </c>
      <c r="F108" s="111">
        <v>3</v>
      </c>
      <c r="G108" s="29">
        <v>53.64</v>
      </c>
      <c r="H108" s="30">
        <f t="shared" si="42"/>
        <v>68.66</v>
      </c>
      <c r="I108" s="31">
        <f t="shared" si="43"/>
        <v>205.98</v>
      </c>
      <c r="J108" s="5">
        <v>3</v>
      </c>
    </row>
    <row r="109" spans="1:12" s="5" customFormat="1" ht="34.5" customHeight="1" x14ac:dyDescent="0.25">
      <c r="A109" s="115" t="s">
        <v>290</v>
      </c>
      <c r="B109" s="32" t="s">
        <v>24</v>
      </c>
      <c r="C109" s="64" t="s">
        <v>101</v>
      </c>
      <c r="D109" s="65" t="s">
        <v>102</v>
      </c>
      <c r="E109" s="25" t="s">
        <v>3</v>
      </c>
      <c r="F109" s="82">
        <v>1.2</v>
      </c>
      <c r="G109" s="66">
        <v>365.93</v>
      </c>
      <c r="H109" s="27">
        <f t="shared" ref="H109:H111" si="44">ROUND(G109+(G109*$I$8),2)</f>
        <v>468.39</v>
      </c>
      <c r="I109" s="41">
        <f t="shared" ref="I109:I111" si="45">F109*H109</f>
        <v>562.06799999999998</v>
      </c>
      <c r="J109" s="94">
        <f>2*0.6</f>
        <v>1.2</v>
      </c>
      <c r="K109" s="3"/>
    </row>
    <row r="110" spans="1:12" s="5" customFormat="1" ht="54.75" customHeight="1" x14ac:dyDescent="0.25">
      <c r="A110" s="115" t="s">
        <v>291</v>
      </c>
      <c r="B110" s="32" t="s">
        <v>2</v>
      </c>
      <c r="C110" s="64" t="s">
        <v>103</v>
      </c>
      <c r="D110" s="65" t="s">
        <v>104</v>
      </c>
      <c r="E110" s="25" t="s">
        <v>84</v>
      </c>
      <c r="F110" s="82">
        <v>1</v>
      </c>
      <c r="G110" s="66">
        <v>302.10000000000002</v>
      </c>
      <c r="H110" s="27">
        <f t="shared" si="44"/>
        <v>386.69</v>
      </c>
      <c r="I110" s="41">
        <f t="shared" si="45"/>
        <v>386.69</v>
      </c>
      <c r="J110" s="94">
        <v>1</v>
      </c>
      <c r="K110" s="3"/>
    </row>
    <row r="111" spans="1:12" s="5" customFormat="1" ht="34.5" customHeight="1" x14ac:dyDescent="0.25">
      <c r="A111" s="115" t="s">
        <v>292</v>
      </c>
      <c r="B111" s="32" t="s">
        <v>2</v>
      </c>
      <c r="C111" s="64" t="s">
        <v>105</v>
      </c>
      <c r="D111" s="65" t="s">
        <v>106</v>
      </c>
      <c r="E111" s="25" t="s">
        <v>84</v>
      </c>
      <c r="F111" s="82">
        <v>1</v>
      </c>
      <c r="G111" s="66">
        <v>10.09</v>
      </c>
      <c r="H111" s="27">
        <f t="shared" si="44"/>
        <v>12.92</v>
      </c>
      <c r="I111" s="41">
        <f t="shared" si="45"/>
        <v>12.92</v>
      </c>
      <c r="J111" s="94">
        <v>1</v>
      </c>
      <c r="K111" s="3"/>
    </row>
    <row r="112" spans="1:12" s="5" customFormat="1" ht="44.25" customHeight="1" x14ac:dyDescent="0.25">
      <c r="A112" s="115" t="s">
        <v>293</v>
      </c>
      <c r="B112" s="32" t="s">
        <v>2</v>
      </c>
      <c r="C112" s="64" t="s">
        <v>108</v>
      </c>
      <c r="D112" s="65" t="s">
        <v>107</v>
      </c>
      <c r="E112" s="25" t="s">
        <v>84</v>
      </c>
      <c r="F112" s="82">
        <v>1</v>
      </c>
      <c r="G112" s="66">
        <v>73</v>
      </c>
      <c r="H112" s="27">
        <f t="shared" ref="H112" si="46">ROUND(G112+(G112*$I$8),2)</f>
        <v>93.44</v>
      </c>
      <c r="I112" s="41">
        <f t="shared" ref="I112" si="47">F112*H112</f>
        <v>93.44</v>
      </c>
      <c r="J112" s="94">
        <v>1</v>
      </c>
      <c r="K112" s="3"/>
    </row>
    <row r="113" spans="1:11" s="5" customFormat="1" ht="15" customHeight="1" x14ac:dyDescent="0.25">
      <c r="A113" s="67" t="s">
        <v>127</v>
      </c>
      <c r="B113" s="87"/>
      <c r="C113" s="88"/>
      <c r="D113" s="89" t="s">
        <v>69</v>
      </c>
      <c r="E113" s="71"/>
      <c r="F113" s="72"/>
      <c r="G113" s="73"/>
      <c r="H113" s="74"/>
      <c r="I113" s="75">
        <f>SUM(I114:I120)</f>
        <v>158006.38799999998</v>
      </c>
      <c r="J113" s="45"/>
      <c r="K113" s="3"/>
    </row>
    <row r="114" spans="1:11" s="5" customFormat="1" ht="58.5" customHeight="1" x14ac:dyDescent="0.25">
      <c r="A114" s="133" t="s">
        <v>294</v>
      </c>
      <c r="B114" s="118" t="s">
        <v>24</v>
      </c>
      <c r="C114" s="106" t="s">
        <v>200</v>
      </c>
      <c r="D114" s="79" t="s">
        <v>201</v>
      </c>
      <c r="E114" s="25" t="s">
        <v>3</v>
      </c>
      <c r="F114" s="26">
        <v>175.31</v>
      </c>
      <c r="G114" s="66">
        <v>21.41</v>
      </c>
      <c r="H114" s="27">
        <f t="shared" ref="H114" si="48">ROUND(G114+(G114*$I$8),2)</f>
        <v>27.4</v>
      </c>
      <c r="I114" s="41">
        <f t="shared" ref="I114" si="49">F114*H114</f>
        <v>4803.4939999999997</v>
      </c>
      <c r="J114" s="45"/>
      <c r="K114" s="3"/>
    </row>
    <row r="115" spans="1:11" s="5" customFormat="1" ht="57" customHeight="1" x14ac:dyDescent="0.25">
      <c r="A115" s="133" t="s">
        <v>295</v>
      </c>
      <c r="B115" s="118" t="s">
        <v>2</v>
      </c>
      <c r="C115" s="106" t="s">
        <v>45</v>
      </c>
      <c r="D115" s="79" t="s">
        <v>199</v>
      </c>
      <c r="E115" s="25" t="s">
        <v>3</v>
      </c>
      <c r="F115" s="26">
        <v>111.6</v>
      </c>
      <c r="G115" s="66">
        <v>88</v>
      </c>
      <c r="H115" s="27">
        <f t="shared" ref="H115" si="50">ROUND(G115+(G115*$I$8),2)</f>
        <v>112.64</v>
      </c>
      <c r="I115" s="41">
        <f t="shared" ref="I115" si="51">F115*H115</f>
        <v>12570.624</v>
      </c>
      <c r="J115" s="94">
        <f>(93*1.2)</f>
        <v>111.6</v>
      </c>
      <c r="K115" s="3"/>
    </row>
    <row r="116" spans="1:11" s="5" customFormat="1" ht="84.75" customHeight="1" x14ac:dyDescent="0.25">
      <c r="A116" s="133" t="s">
        <v>296</v>
      </c>
      <c r="B116" s="118" t="s">
        <v>24</v>
      </c>
      <c r="C116" s="134" t="s">
        <v>197</v>
      </c>
      <c r="D116" s="135" t="s">
        <v>196</v>
      </c>
      <c r="E116" s="136" t="s">
        <v>3</v>
      </c>
      <c r="F116" s="137">
        <v>514</v>
      </c>
      <c r="G116" s="40">
        <v>130.94999999999999</v>
      </c>
      <c r="H116" s="138">
        <f t="shared" ref="H116:H120" si="52">ROUND(G116+(G116*$I$8),2)</f>
        <v>167.62</v>
      </c>
      <c r="I116" s="139">
        <f t="shared" ref="I116:I120" si="53">F116*H116</f>
        <v>86156.680000000008</v>
      </c>
      <c r="J116" s="45">
        <v>514</v>
      </c>
      <c r="K116" s="3"/>
    </row>
    <row r="117" spans="1:11" s="5" customFormat="1" ht="47.25" customHeight="1" x14ac:dyDescent="0.25">
      <c r="A117" s="133" t="s">
        <v>297</v>
      </c>
      <c r="B117" s="32" t="s">
        <v>2</v>
      </c>
      <c r="C117" s="64" t="s">
        <v>182</v>
      </c>
      <c r="D117" s="65" t="s">
        <v>183</v>
      </c>
      <c r="E117" s="81" t="s">
        <v>3</v>
      </c>
      <c r="F117" s="82">
        <v>514</v>
      </c>
      <c r="G117" s="91">
        <v>65.13</v>
      </c>
      <c r="H117" s="92">
        <f>ROUND(G117+(G117*$I$8),2)</f>
        <v>83.37</v>
      </c>
      <c r="I117" s="93">
        <f>F117*H117</f>
        <v>42852.18</v>
      </c>
      <c r="J117" s="45">
        <v>514</v>
      </c>
      <c r="K117" s="3"/>
    </row>
    <row r="118" spans="1:11" s="5" customFormat="1" ht="42.75" customHeight="1" x14ac:dyDescent="0.25">
      <c r="A118" s="133" t="s">
        <v>298</v>
      </c>
      <c r="B118" s="118" t="s">
        <v>2</v>
      </c>
      <c r="C118" s="134" t="s">
        <v>71</v>
      </c>
      <c r="D118" s="135" t="s">
        <v>70</v>
      </c>
      <c r="E118" s="81" t="s">
        <v>23</v>
      </c>
      <c r="F118" s="82">
        <v>69</v>
      </c>
      <c r="G118" s="91">
        <v>97.32</v>
      </c>
      <c r="H118" s="92">
        <f t="shared" si="52"/>
        <v>124.57</v>
      </c>
      <c r="I118" s="93">
        <f t="shared" si="53"/>
        <v>8595.33</v>
      </c>
      <c r="J118" s="94">
        <f>20+22+10.4+2.5+14.1</f>
        <v>69</v>
      </c>
      <c r="K118" s="3"/>
    </row>
    <row r="119" spans="1:11" s="5" customFormat="1" ht="42" customHeight="1" x14ac:dyDescent="0.25">
      <c r="A119" s="133" t="s">
        <v>299</v>
      </c>
      <c r="B119" s="32" t="s">
        <v>2</v>
      </c>
      <c r="C119" s="33" t="s">
        <v>73</v>
      </c>
      <c r="D119" s="109" t="s">
        <v>72</v>
      </c>
      <c r="E119" s="110" t="s">
        <v>23</v>
      </c>
      <c r="F119" s="111">
        <v>24</v>
      </c>
      <c r="G119" s="29">
        <v>64.45</v>
      </c>
      <c r="H119" s="30">
        <f t="shared" si="52"/>
        <v>82.5</v>
      </c>
      <c r="I119" s="31">
        <f t="shared" si="53"/>
        <v>1980</v>
      </c>
      <c r="J119" s="101">
        <v>24</v>
      </c>
    </row>
    <row r="120" spans="1:11" s="5" customFormat="1" ht="46.5" customHeight="1" x14ac:dyDescent="0.25">
      <c r="A120" s="133" t="s">
        <v>300</v>
      </c>
      <c r="B120" s="32" t="s">
        <v>2</v>
      </c>
      <c r="C120" s="64" t="s">
        <v>74</v>
      </c>
      <c r="D120" s="65" t="s">
        <v>75</v>
      </c>
      <c r="E120" s="81" t="s">
        <v>23</v>
      </c>
      <c r="F120" s="82">
        <v>24</v>
      </c>
      <c r="G120" s="91">
        <v>34.119999999999997</v>
      </c>
      <c r="H120" s="92">
        <f t="shared" si="52"/>
        <v>43.67</v>
      </c>
      <c r="I120" s="93">
        <f t="shared" si="53"/>
        <v>1048.08</v>
      </c>
      <c r="J120" s="94">
        <f>6*4</f>
        <v>24</v>
      </c>
      <c r="K120" s="3"/>
    </row>
    <row r="121" spans="1:11" s="5" customFormat="1" ht="15" customHeight="1" x14ac:dyDescent="0.25">
      <c r="A121" s="67" t="s">
        <v>128</v>
      </c>
      <c r="B121" s="87"/>
      <c r="C121" s="88"/>
      <c r="D121" s="89" t="s">
        <v>76</v>
      </c>
      <c r="E121" s="71"/>
      <c r="F121" s="72"/>
      <c r="G121" s="73"/>
      <c r="H121" s="74"/>
      <c r="I121" s="75">
        <f>SUM(I122:I125)</f>
        <v>7784.9357999999993</v>
      </c>
      <c r="J121" s="45"/>
      <c r="K121" s="3"/>
    </row>
    <row r="122" spans="1:11" s="5" customFormat="1" ht="39.75" customHeight="1" x14ac:dyDescent="0.25">
      <c r="A122" s="23" t="s">
        <v>301</v>
      </c>
      <c r="B122" s="32" t="s">
        <v>2</v>
      </c>
      <c r="C122" s="64" t="s">
        <v>77</v>
      </c>
      <c r="D122" s="65" t="s">
        <v>78</v>
      </c>
      <c r="E122" s="25" t="s">
        <v>3</v>
      </c>
      <c r="F122" s="26">
        <v>7.2</v>
      </c>
      <c r="G122" s="66">
        <v>430</v>
      </c>
      <c r="H122" s="27">
        <f t="shared" ref="H122:H125" si="54">ROUND(G122+(G122*$I$8),2)</f>
        <v>550.4</v>
      </c>
      <c r="I122" s="41">
        <f t="shared" ref="I122:I125" si="55">F122*H122</f>
        <v>3962.88</v>
      </c>
      <c r="J122" s="45">
        <f>(1.5*1.2)*4</f>
        <v>7.1999999999999993</v>
      </c>
      <c r="K122" s="3"/>
    </row>
    <row r="123" spans="1:11" s="5" customFormat="1" ht="31.5" customHeight="1" x14ac:dyDescent="0.25">
      <c r="A123" s="23" t="s">
        <v>302</v>
      </c>
      <c r="B123" s="32" t="s">
        <v>2</v>
      </c>
      <c r="C123" s="64" t="s">
        <v>79</v>
      </c>
      <c r="D123" s="65" t="s">
        <v>198</v>
      </c>
      <c r="E123" s="25" t="s">
        <v>3</v>
      </c>
      <c r="F123" s="26">
        <v>3.78</v>
      </c>
      <c r="G123" s="66">
        <v>635</v>
      </c>
      <c r="H123" s="27">
        <f t="shared" si="54"/>
        <v>812.8</v>
      </c>
      <c r="I123" s="41">
        <f t="shared" si="55"/>
        <v>3072.3839999999996</v>
      </c>
      <c r="J123" s="94">
        <f>(0.9*2.1)*2</f>
        <v>3.7800000000000002</v>
      </c>
      <c r="K123" s="3"/>
    </row>
    <row r="124" spans="1:11" s="5" customFormat="1" ht="30" customHeight="1" x14ac:dyDescent="0.25">
      <c r="A124" s="23" t="s">
        <v>303</v>
      </c>
      <c r="B124" s="32" t="s">
        <v>24</v>
      </c>
      <c r="C124" s="64" t="s">
        <v>81</v>
      </c>
      <c r="D124" s="65" t="s">
        <v>80</v>
      </c>
      <c r="E124" s="25" t="s">
        <v>3</v>
      </c>
      <c r="F124" s="26">
        <v>0.36</v>
      </c>
      <c r="G124" s="66">
        <v>368.46</v>
      </c>
      <c r="H124" s="27">
        <f t="shared" si="54"/>
        <v>471.63</v>
      </c>
      <c r="I124" s="41">
        <f t="shared" si="55"/>
        <v>169.7868</v>
      </c>
      <c r="J124" s="94">
        <f>(0.9*0.2)*2</f>
        <v>0.36000000000000004</v>
      </c>
      <c r="K124" s="3"/>
    </row>
    <row r="125" spans="1:11" s="5" customFormat="1" ht="20.25" customHeight="1" x14ac:dyDescent="0.25">
      <c r="A125" s="23" t="s">
        <v>304</v>
      </c>
      <c r="B125" s="32" t="s">
        <v>24</v>
      </c>
      <c r="C125" s="64" t="s">
        <v>168</v>
      </c>
      <c r="D125" s="65" t="s">
        <v>169</v>
      </c>
      <c r="E125" s="25" t="s">
        <v>3</v>
      </c>
      <c r="F125" s="26">
        <v>1.5</v>
      </c>
      <c r="G125" s="66">
        <v>302.02</v>
      </c>
      <c r="H125" s="27">
        <f t="shared" si="54"/>
        <v>386.59</v>
      </c>
      <c r="I125" s="41">
        <f t="shared" si="55"/>
        <v>579.88499999999999</v>
      </c>
      <c r="J125" s="94">
        <f>(1.5*0.25)*4</f>
        <v>1.5</v>
      </c>
      <c r="K125" s="3"/>
    </row>
    <row r="126" spans="1:11" s="5" customFormat="1" ht="15" customHeight="1" x14ac:dyDescent="0.25">
      <c r="A126" s="67" t="s">
        <v>192</v>
      </c>
      <c r="B126" s="87"/>
      <c r="C126" s="88"/>
      <c r="D126" s="89" t="s">
        <v>82</v>
      </c>
      <c r="E126" s="71"/>
      <c r="F126" s="72"/>
      <c r="G126" s="73"/>
      <c r="H126" s="74"/>
      <c r="I126" s="75">
        <f>SUM(I127:I135)</f>
        <v>9826.58</v>
      </c>
      <c r="J126" s="45"/>
      <c r="K126" s="3"/>
    </row>
    <row r="127" spans="1:11" s="5" customFormat="1" ht="42" customHeight="1" x14ac:dyDescent="0.25">
      <c r="A127" s="23" t="s">
        <v>305</v>
      </c>
      <c r="B127" s="32" t="s">
        <v>2</v>
      </c>
      <c r="C127" s="64" t="s">
        <v>85</v>
      </c>
      <c r="D127" s="65" t="s">
        <v>86</v>
      </c>
      <c r="E127" s="25" t="s">
        <v>23</v>
      </c>
      <c r="F127" s="26">
        <v>200</v>
      </c>
      <c r="G127" s="66">
        <v>3.59</v>
      </c>
      <c r="H127" s="27">
        <f t="shared" ref="H127:H135" si="56">ROUND(G127+(G127*$I$8),2)</f>
        <v>4.5999999999999996</v>
      </c>
      <c r="I127" s="41">
        <f t="shared" ref="I127:I135" si="57">F127*H127</f>
        <v>919.99999999999989</v>
      </c>
      <c r="J127" s="45"/>
      <c r="K127" s="3"/>
    </row>
    <row r="128" spans="1:11" s="5" customFormat="1" ht="44.25" customHeight="1" x14ac:dyDescent="0.25">
      <c r="A128" s="23" t="s">
        <v>306</v>
      </c>
      <c r="B128" s="32" t="s">
        <v>2</v>
      </c>
      <c r="C128" s="64" t="s">
        <v>87</v>
      </c>
      <c r="D128" s="65" t="s">
        <v>88</v>
      </c>
      <c r="E128" s="25" t="s">
        <v>23</v>
      </c>
      <c r="F128" s="26">
        <v>200</v>
      </c>
      <c r="G128" s="66">
        <v>5.54</v>
      </c>
      <c r="H128" s="27">
        <f t="shared" si="56"/>
        <v>7.09</v>
      </c>
      <c r="I128" s="41">
        <f t="shared" si="57"/>
        <v>1418</v>
      </c>
      <c r="J128" s="45"/>
      <c r="K128" s="3"/>
    </row>
    <row r="129" spans="1:11" s="5" customFormat="1" ht="40.5" customHeight="1" x14ac:dyDescent="0.25">
      <c r="A129" s="23" t="s">
        <v>307</v>
      </c>
      <c r="B129" s="32" t="s">
        <v>2</v>
      </c>
      <c r="C129" s="64" t="s">
        <v>97</v>
      </c>
      <c r="D129" s="65" t="s">
        <v>98</v>
      </c>
      <c r="E129" s="25" t="s">
        <v>84</v>
      </c>
      <c r="F129" s="26">
        <v>4</v>
      </c>
      <c r="G129" s="66">
        <v>34.61</v>
      </c>
      <c r="H129" s="27">
        <f t="shared" si="56"/>
        <v>44.3</v>
      </c>
      <c r="I129" s="41">
        <f t="shared" si="57"/>
        <v>177.2</v>
      </c>
      <c r="J129" s="45"/>
      <c r="K129" s="3"/>
    </row>
    <row r="130" spans="1:11" s="5" customFormat="1" ht="48" customHeight="1" x14ac:dyDescent="0.25">
      <c r="A130" s="23" t="s">
        <v>308</v>
      </c>
      <c r="B130" s="32" t="s">
        <v>2</v>
      </c>
      <c r="C130" s="64" t="s">
        <v>89</v>
      </c>
      <c r="D130" s="65" t="s">
        <v>90</v>
      </c>
      <c r="E130" s="81" t="s">
        <v>23</v>
      </c>
      <c r="F130" s="82">
        <v>200</v>
      </c>
      <c r="G130" s="91">
        <v>8.82</v>
      </c>
      <c r="H130" s="92">
        <f t="shared" si="56"/>
        <v>11.29</v>
      </c>
      <c r="I130" s="93">
        <f t="shared" si="57"/>
        <v>2258</v>
      </c>
      <c r="J130" s="47"/>
      <c r="K130" s="3"/>
    </row>
    <row r="131" spans="1:11" s="5" customFormat="1" ht="124.5" customHeight="1" x14ac:dyDescent="0.25">
      <c r="A131" s="23" t="s">
        <v>309</v>
      </c>
      <c r="B131" s="32" t="s">
        <v>24</v>
      </c>
      <c r="C131" s="64" t="s">
        <v>95</v>
      </c>
      <c r="D131" s="65" t="s">
        <v>96</v>
      </c>
      <c r="E131" s="25" t="s">
        <v>84</v>
      </c>
      <c r="F131" s="82">
        <v>4</v>
      </c>
      <c r="G131" s="91">
        <v>143.25</v>
      </c>
      <c r="H131" s="92">
        <f t="shared" si="56"/>
        <v>183.36</v>
      </c>
      <c r="I131" s="93">
        <f t="shared" si="57"/>
        <v>733.44</v>
      </c>
      <c r="J131" s="47"/>
      <c r="K131" s="3"/>
    </row>
    <row r="132" spans="1:11" s="5" customFormat="1" ht="142.5" customHeight="1" x14ac:dyDescent="0.25">
      <c r="A132" s="23" t="s">
        <v>310</v>
      </c>
      <c r="B132" s="32" t="s">
        <v>24</v>
      </c>
      <c r="C132" s="64" t="s">
        <v>91</v>
      </c>
      <c r="D132" s="65" t="s">
        <v>92</v>
      </c>
      <c r="E132" s="25" t="s">
        <v>84</v>
      </c>
      <c r="F132" s="82">
        <v>4</v>
      </c>
      <c r="G132" s="91">
        <v>230.06</v>
      </c>
      <c r="H132" s="92">
        <f t="shared" si="56"/>
        <v>294.48</v>
      </c>
      <c r="I132" s="93">
        <f t="shared" si="57"/>
        <v>1177.92</v>
      </c>
      <c r="J132" s="47"/>
      <c r="K132" s="3"/>
    </row>
    <row r="133" spans="1:11" s="5" customFormat="1" ht="147.75" customHeight="1" x14ac:dyDescent="0.25">
      <c r="A133" s="23" t="s">
        <v>311</v>
      </c>
      <c r="B133" s="32" t="s">
        <v>24</v>
      </c>
      <c r="C133" s="64" t="s">
        <v>93</v>
      </c>
      <c r="D133" s="65" t="s">
        <v>94</v>
      </c>
      <c r="E133" s="25" t="s">
        <v>84</v>
      </c>
      <c r="F133" s="82">
        <v>8</v>
      </c>
      <c r="G133" s="91">
        <v>282.26</v>
      </c>
      <c r="H133" s="92">
        <f t="shared" si="56"/>
        <v>361.29</v>
      </c>
      <c r="I133" s="93">
        <f t="shared" si="57"/>
        <v>2890.32</v>
      </c>
      <c r="J133" s="47"/>
      <c r="K133" s="3"/>
    </row>
    <row r="134" spans="1:11" s="5" customFormat="1" ht="31.5" customHeight="1" x14ac:dyDescent="0.25">
      <c r="A134" s="23" t="s">
        <v>312</v>
      </c>
      <c r="B134" s="57" t="s">
        <v>24</v>
      </c>
      <c r="C134" s="90" t="s">
        <v>170</v>
      </c>
      <c r="D134" s="65" t="s">
        <v>171</v>
      </c>
      <c r="E134" s="25" t="s">
        <v>84</v>
      </c>
      <c r="F134" s="82">
        <v>1</v>
      </c>
      <c r="G134" s="91">
        <v>150.19999999999999</v>
      </c>
      <c r="H134" s="92">
        <f t="shared" si="56"/>
        <v>192.26</v>
      </c>
      <c r="I134" s="93">
        <f t="shared" si="57"/>
        <v>192.26</v>
      </c>
      <c r="J134" s="47"/>
      <c r="K134" s="3"/>
    </row>
    <row r="135" spans="1:11" s="5" customFormat="1" ht="41.25" customHeight="1" x14ac:dyDescent="0.25">
      <c r="A135" s="23" t="s">
        <v>313</v>
      </c>
      <c r="B135" s="57" t="s">
        <v>2</v>
      </c>
      <c r="C135" s="90" t="s">
        <v>148</v>
      </c>
      <c r="D135" s="65" t="s">
        <v>149</v>
      </c>
      <c r="E135" s="25" t="s">
        <v>84</v>
      </c>
      <c r="F135" s="82">
        <v>2</v>
      </c>
      <c r="G135" s="91">
        <v>23.22</v>
      </c>
      <c r="H135" s="92">
        <f t="shared" si="56"/>
        <v>29.72</v>
      </c>
      <c r="I135" s="93">
        <f t="shared" si="57"/>
        <v>59.44</v>
      </c>
      <c r="J135" s="47"/>
      <c r="K135" s="3"/>
    </row>
    <row r="136" spans="1:11" s="5" customFormat="1" ht="15" customHeight="1" x14ac:dyDescent="0.25">
      <c r="A136" s="67" t="s">
        <v>193</v>
      </c>
      <c r="B136" s="87"/>
      <c r="C136" s="88"/>
      <c r="D136" s="89" t="s">
        <v>187</v>
      </c>
      <c r="E136" s="71"/>
      <c r="F136" s="72"/>
      <c r="G136" s="73"/>
      <c r="H136" s="74"/>
      <c r="I136" s="75">
        <f>SUM(I137:I138)</f>
        <v>9876.9600000000009</v>
      </c>
      <c r="J136" s="45"/>
      <c r="K136" s="3"/>
    </row>
    <row r="137" spans="1:11" s="5" customFormat="1" ht="32.25" customHeight="1" x14ac:dyDescent="0.25">
      <c r="A137" s="23" t="s">
        <v>314</v>
      </c>
      <c r="B137" s="32" t="s">
        <v>2</v>
      </c>
      <c r="C137" s="64" t="s">
        <v>29</v>
      </c>
      <c r="D137" s="65" t="s">
        <v>42</v>
      </c>
      <c r="E137" s="25" t="s">
        <v>3</v>
      </c>
      <c r="F137" s="26">
        <v>519.84</v>
      </c>
      <c r="G137" s="66">
        <v>3.89</v>
      </c>
      <c r="H137" s="27">
        <f t="shared" ref="H137:H138" si="58">ROUND(G137+(G137*$I$8),2)</f>
        <v>4.9800000000000004</v>
      </c>
      <c r="I137" s="41">
        <f t="shared" ref="I137:I138" si="59">F137*H137</f>
        <v>2588.8032000000003</v>
      </c>
      <c r="J137" s="45">
        <f>(188.16*2)+(10.4*13.8)</f>
        <v>519.84</v>
      </c>
      <c r="K137" s="3"/>
    </row>
    <row r="138" spans="1:11" s="5" customFormat="1" ht="35.25" customHeight="1" x14ac:dyDescent="0.25">
      <c r="A138" s="23" t="s">
        <v>315</v>
      </c>
      <c r="B138" s="48" t="s">
        <v>2</v>
      </c>
      <c r="C138" s="49" t="s">
        <v>30</v>
      </c>
      <c r="D138" s="56" t="s">
        <v>43</v>
      </c>
      <c r="E138" s="50" t="s">
        <v>3</v>
      </c>
      <c r="F138" s="51">
        <v>519.84</v>
      </c>
      <c r="G138" s="52">
        <v>10.95</v>
      </c>
      <c r="H138" s="53">
        <f t="shared" si="58"/>
        <v>14.02</v>
      </c>
      <c r="I138" s="54">
        <f t="shared" si="59"/>
        <v>7288.1568000000007</v>
      </c>
      <c r="J138" s="45">
        <f>(188.16*2)+(10.4*13.8)</f>
        <v>519.84</v>
      </c>
      <c r="K138" s="3"/>
    </row>
    <row r="139" spans="1:11" s="5" customFormat="1" ht="20.25" customHeight="1" x14ac:dyDescent="0.25">
      <c r="A139" s="170" t="s">
        <v>190</v>
      </c>
      <c r="B139" s="171"/>
      <c r="C139" s="171"/>
      <c r="D139" s="171"/>
      <c r="E139" s="171"/>
      <c r="F139" s="171"/>
      <c r="G139" s="171"/>
      <c r="H139" s="171"/>
      <c r="I139" s="140">
        <f>SUM(I82+I94+I97+I102+I113+I121+I126+I136)</f>
        <v>396650.55160000001</v>
      </c>
      <c r="J139" s="45"/>
      <c r="K139" s="3"/>
    </row>
    <row r="140" spans="1:11" s="5" customFormat="1" ht="12" customHeight="1" x14ac:dyDescent="0.25">
      <c r="A140" s="129"/>
      <c r="B140" s="130"/>
      <c r="C140" s="130"/>
      <c r="D140" s="130"/>
      <c r="E140" s="130"/>
      <c r="F140" s="130"/>
      <c r="G140" s="130"/>
      <c r="H140" s="130"/>
      <c r="I140" s="96"/>
      <c r="J140" s="45"/>
      <c r="K140" s="3"/>
    </row>
    <row r="141" spans="1:11" s="5" customFormat="1" ht="15" customHeight="1" x14ac:dyDescent="0.25">
      <c r="A141" s="67" t="s">
        <v>60</v>
      </c>
      <c r="B141" s="87"/>
      <c r="C141" s="88"/>
      <c r="D141" s="89" t="s">
        <v>191</v>
      </c>
      <c r="E141" s="71"/>
      <c r="F141" s="72"/>
      <c r="G141" s="73"/>
      <c r="H141" s="74"/>
      <c r="I141" s="75">
        <f>SUM(I142)</f>
        <v>2855.1095999999998</v>
      </c>
      <c r="J141" s="45"/>
      <c r="K141" s="3"/>
    </row>
    <row r="142" spans="1:11" s="5" customFormat="1" ht="15" customHeight="1" x14ac:dyDescent="0.25">
      <c r="A142" s="38" t="s">
        <v>61</v>
      </c>
      <c r="B142" s="48" t="s">
        <v>24</v>
      </c>
      <c r="C142" s="49" t="s">
        <v>113</v>
      </c>
      <c r="D142" s="56" t="s">
        <v>112</v>
      </c>
      <c r="E142" s="50" t="s">
        <v>3</v>
      </c>
      <c r="F142" s="51">
        <v>344.82</v>
      </c>
      <c r="G142" s="52">
        <v>6.47</v>
      </c>
      <c r="H142" s="53">
        <f t="shared" ref="H142" si="60">ROUND(G142+(G142*$I$8),2)</f>
        <v>8.2799999999999994</v>
      </c>
      <c r="I142" s="54">
        <f t="shared" ref="I142" si="61">F142*H142</f>
        <v>2855.1095999999998</v>
      </c>
      <c r="J142" s="45">
        <f>138.3+63+143.52</f>
        <v>344.82000000000005</v>
      </c>
      <c r="K142" s="3"/>
    </row>
    <row r="143" spans="1:11" s="5" customFormat="1" ht="12" customHeight="1" x14ac:dyDescent="0.25">
      <c r="A143" s="129"/>
      <c r="B143" s="130"/>
      <c r="C143" s="130"/>
      <c r="D143" s="130"/>
      <c r="E143" s="130"/>
      <c r="F143" s="130"/>
      <c r="G143" s="130"/>
      <c r="H143" s="130"/>
      <c r="I143" s="96"/>
      <c r="J143" s="45"/>
      <c r="K143" s="3"/>
    </row>
    <row r="144" spans="1:11" s="5" customFormat="1" x14ac:dyDescent="0.25">
      <c r="A144" s="168" t="s">
        <v>177</v>
      </c>
      <c r="B144" s="169"/>
      <c r="C144" s="169"/>
      <c r="D144" s="169"/>
      <c r="E144" s="169"/>
      <c r="F144" s="169"/>
      <c r="G144" s="169"/>
      <c r="H144" s="169"/>
      <c r="I144" s="124">
        <f>(I11+I15+I79+I139+I141)</f>
        <v>782273.05160000001</v>
      </c>
      <c r="J144" s="42"/>
    </row>
    <row r="145" spans="1:9" s="5" customFormat="1" x14ac:dyDescent="0.25">
      <c r="A145" s="43"/>
      <c r="B145" s="43"/>
      <c r="C145" s="43"/>
      <c r="D145" s="55"/>
      <c r="E145" s="12"/>
      <c r="F145" s="4"/>
      <c r="G145" s="4"/>
      <c r="H145" s="4"/>
      <c r="I145" s="4"/>
    </row>
    <row r="146" spans="1:9" s="5" customFormat="1" x14ac:dyDescent="0.25">
      <c r="A146" s="43"/>
      <c r="B146" s="43"/>
      <c r="C146" s="43"/>
      <c r="D146" s="55"/>
      <c r="E146" s="12"/>
      <c r="F146" s="4"/>
      <c r="G146" s="4"/>
      <c r="H146" s="4"/>
      <c r="I146" s="4"/>
    </row>
    <row r="147" spans="1:9" s="5" customFormat="1" x14ac:dyDescent="0.25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25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25">
      <c r="A149" s="8" t="s">
        <v>18</v>
      </c>
      <c r="B149" s="4"/>
      <c r="C149" s="4"/>
      <c r="D149" s="4"/>
      <c r="E149" s="162" t="s">
        <v>41</v>
      </c>
      <c r="F149" s="162"/>
      <c r="G149" s="162"/>
      <c r="H149" s="162"/>
      <c r="I149" s="8"/>
    </row>
    <row r="150" spans="1:9" x14ac:dyDescent="0.25">
      <c r="A150" s="7" t="s">
        <v>19</v>
      </c>
      <c r="B150" s="8"/>
      <c r="C150" s="8"/>
      <c r="D150" s="8"/>
      <c r="E150" s="162" t="s">
        <v>20</v>
      </c>
      <c r="F150" s="162"/>
      <c r="G150" s="162"/>
      <c r="H150" s="162"/>
      <c r="I150" s="9"/>
    </row>
    <row r="151" spans="1:9" x14ac:dyDescent="0.25">
      <c r="A151" s="7" t="s">
        <v>14</v>
      </c>
      <c r="B151" s="8"/>
      <c r="C151" s="8"/>
      <c r="D151" s="8"/>
      <c r="E151" s="8"/>
      <c r="F151" s="8"/>
      <c r="G151" s="8"/>
      <c r="H151" s="8"/>
      <c r="I151" s="8"/>
    </row>
    <row r="152" spans="1:9" x14ac:dyDescent="0.25">
      <c r="A152" s="7"/>
      <c r="B152" s="8"/>
      <c r="C152" s="8"/>
      <c r="D152" s="8"/>
    </row>
  </sheetData>
  <mergeCells count="15">
    <mergeCell ref="A1:I1"/>
    <mergeCell ref="A6:I6"/>
    <mergeCell ref="E149:H149"/>
    <mergeCell ref="E150:H150"/>
    <mergeCell ref="A2:I2"/>
    <mergeCell ref="A4:I4"/>
    <mergeCell ref="A5:I5"/>
    <mergeCell ref="A8:G8"/>
    <mergeCell ref="A3:I3"/>
    <mergeCell ref="A7:I7"/>
    <mergeCell ref="A144:H144"/>
    <mergeCell ref="A139:H139"/>
    <mergeCell ref="A79:H79"/>
    <mergeCell ref="A14:I14"/>
    <mergeCell ref="A17:I17"/>
  </mergeCells>
  <pageMargins left="0.51181102362204722" right="0.51181102362204722" top="0.78740157480314965" bottom="0.78740157480314965" header="0.31496062992125984" footer="0.31496062992125984"/>
  <pageSetup paperSize="9" scale="7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2023-09-06T21:36:43Z</cp:lastPrinted>
  <dcterms:created xsi:type="dcterms:W3CDTF">2019-06-10T18:07:57Z</dcterms:created>
  <dcterms:modified xsi:type="dcterms:W3CDTF">2023-09-11T17:00:02Z</dcterms:modified>
</cp:coreProperties>
</file>