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mflaviani\scanner\Edital  2023\Tomada de Preços\TP 006-2023 Reforma e Ampliação Maria Jose Rosa\"/>
    </mc:Choice>
  </mc:AlternateContent>
  <bookViews>
    <workbookView xWindow="0" yWindow="0" windowWidth="19155" windowHeight="46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Plan1!$A$1:$I$53</definedName>
  </definedNames>
  <calcPr calcId="162913"/>
</workbook>
</file>

<file path=xl/calcChain.xml><?xml version="1.0" encoding="utf-8"?>
<calcChain xmlns="http://schemas.openxmlformats.org/spreadsheetml/2006/main">
  <c r="J41" i="1" l="1"/>
  <c r="J38" i="1" l="1"/>
  <c r="J39" i="1"/>
  <c r="H39" i="1"/>
  <c r="I39" i="1" s="1"/>
  <c r="H38" i="1"/>
  <c r="I38" i="1" s="1"/>
  <c r="J33" i="1" l="1"/>
  <c r="J34" i="1"/>
  <c r="J32" i="1"/>
  <c r="J31" i="1"/>
  <c r="H34" i="1"/>
  <c r="I34" i="1" s="1"/>
  <c r="H33" i="1"/>
  <c r="I33" i="1" s="1"/>
  <c r="H32" i="1"/>
  <c r="I32" i="1" s="1"/>
  <c r="H31" i="1"/>
  <c r="I31" i="1" s="1"/>
  <c r="J37" i="1"/>
  <c r="H37" i="1"/>
  <c r="I37" i="1" s="1"/>
  <c r="J36" i="1"/>
  <c r="J21" i="1"/>
  <c r="J22" i="1"/>
  <c r="J20" i="1"/>
  <c r="J19" i="1"/>
  <c r="J18" i="1"/>
  <c r="J17" i="1"/>
  <c r="J14" i="1"/>
  <c r="J15" i="1"/>
  <c r="J16" i="1"/>
  <c r="H22" i="1"/>
  <c r="I22" i="1" s="1"/>
  <c r="H21" i="1"/>
  <c r="I21" i="1" s="1"/>
  <c r="H18" i="1"/>
  <c r="I18" i="1" s="1"/>
  <c r="H17" i="1"/>
  <c r="I17" i="1" s="1"/>
  <c r="H20" i="1"/>
  <c r="I20" i="1" s="1"/>
  <c r="H19" i="1"/>
  <c r="I19" i="1" s="1"/>
  <c r="H25" i="1" l="1"/>
  <c r="I25" i="1" s="1"/>
  <c r="H24" i="1"/>
  <c r="I24" i="1" s="1"/>
  <c r="H43" i="1" l="1"/>
  <c r="I43" i="1" s="1"/>
  <c r="I42" i="1" s="1"/>
  <c r="H41" i="1" l="1"/>
  <c r="I41" i="1" s="1"/>
  <c r="I40" i="1" s="1"/>
  <c r="H36" i="1"/>
  <c r="I36" i="1" s="1"/>
  <c r="H35" i="1"/>
  <c r="I35" i="1" s="1"/>
  <c r="I30" i="1" s="1"/>
  <c r="H29" i="1" l="1"/>
  <c r="I29" i="1" s="1"/>
  <c r="H27" i="1"/>
  <c r="I27" i="1" s="1"/>
  <c r="H26" i="1"/>
  <c r="I26" i="1" s="1"/>
  <c r="I23" i="1" l="1"/>
  <c r="I28" i="1"/>
  <c r="H14" i="1" l="1"/>
  <c r="I14" i="1" s="1"/>
  <c r="H15" i="1" l="1"/>
  <c r="I15" i="1" s="1"/>
  <c r="H12" i="1" l="1"/>
  <c r="I12" i="1" s="1"/>
  <c r="I11" i="1" s="1"/>
  <c r="H16" i="1" l="1"/>
  <c r="I16" i="1" s="1"/>
  <c r="I13" i="1" s="1"/>
  <c r="I44" i="1" s="1"/>
</calcChain>
</file>

<file path=xl/sharedStrings.xml><?xml version="1.0" encoding="utf-8"?>
<sst xmlns="http://schemas.openxmlformats.org/spreadsheetml/2006/main" count="170" uniqueCount="116">
  <si>
    <t/>
  </si>
  <si>
    <t>1.1</t>
  </si>
  <si>
    <t>SINAPI</t>
  </si>
  <si>
    <t>M2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</si>
  <si>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</si>
  <si>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</si>
  <si>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</si>
  <si>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</si>
  <si>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</si>
  <si>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</si>
  <si>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</si>
  <si>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</si>
  <si>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</si>
  <si>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</si>
  <si>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</si>
  <si>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PLANILHA ORÇAMENTÁRIA</t>
  </si>
  <si>
    <t>1.0</t>
  </si>
  <si>
    <t>M3</t>
  </si>
  <si>
    <t>93358</t>
  </si>
  <si>
    <t>ESCAVAÇÃO MANUAL DE VALA COM PROFUNDIDADE MENOR OU IGUAL A 1,30 M. AF_02/2021</t>
  </si>
  <si>
    <t>94967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</si>
  <si>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</si>
  <si>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</si>
  <si>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</si>
  <si>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</si>
  <si>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</si>
  <si>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M</t>
  </si>
  <si>
    <t>SETOP</t>
  </si>
  <si>
    <t>KG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</si>
  <si>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</si>
  <si>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</si>
  <si>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</si>
  <si>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</si>
  <si>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</si>
  <si>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</si>
  <si>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</si>
  <si>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2.2</t>
  </si>
  <si>
    <t>2.3</t>
  </si>
  <si>
    <t>2.4</t>
  </si>
  <si>
    <t>2.5</t>
  </si>
  <si>
    <t>92762</t>
  </si>
  <si>
    <t>ARMAÇÃO DE PILAR OU VIGA DE UMA ESTRUTURA CONVENCIONAL DE CONCRETO ARMADO EM UTILIZANDO AÇO CA-50 DE 10,0 MM - MONTAGEM. AF_06/2022</t>
  </si>
  <si>
    <t>CONCRETO FCK = 40MPA, TRAÇO 1:1,6:1,9 (EM MASSA SECA DE CIMENTO/ AREIA MÉDIA/ BRITA 1)- PREPARO MECÂNICO COM BETONEIRA 400 L. AF_05/2021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</si>
  <si>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</si>
  <si>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</si>
  <si>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</si>
  <si>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</si>
  <si>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</si>
  <si>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LUÍS FERNANDO ROSA DE CASTRO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</si>
  <si>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</si>
  <si>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</si>
  <si>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</si>
  <si>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103318</t>
  </si>
  <si>
    <t>ALVENARIA DE VEDAÇÃO DE BLOCOS VAZADOS DE CONCRETO DE 14X19X39 CM (ESPESSURA 14 CM) E ARGAMASSA DE ASSENTAMENTO COM PREPARO EM BETONEIRA. AF_12/2021</t>
  </si>
  <si>
    <t>3.0</t>
  </si>
  <si>
    <t>3.1</t>
  </si>
  <si>
    <t>3.2</t>
  </si>
  <si>
    <t>4.0</t>
  </si>
  <si>
    <t>4.1</t>
  </si>
  <si>
    <t>5.0</t>
  </si>
  <si>
    <t>5.1</t>
  </si>
  <si>
    <t>5.2</t>
  </si>
  <si>
    <t>5.3</t>
  </si>
  <si>
    <t>5.4</t>
  </si>
  <si>
    <t>6.0</t>
  </si>
  <si>
    <t>6.1</t>
  </si>
  <si>
    <t>7.0</t>
  </si>
  <si>
    <t>7.1</t>
  </si>
  <si>
    <t>PISO</t>
  </si>
  <si>
    <t>COBERTURA</t>
  </si>
  <si>
    <t>LIMPEZA</t>
  </si>
  <si>
    <t>LIMPEZA FINAL PARA ENTREGA DA OBRA</t>
  </si>
  <si>
    <t>ED-50266</t>
  </si>
  <si>
    <t>TOTAL DA OBRA</t>
  </si>
  <si>
    <t>END.: BAIRRO CACHOEIRINHA (BNH)</t>
  </si>
  <si>
    <t xml:space="preserve">OBRA: REFORMA E AMPLIAÇÃO DA ESCOLA MUNICIPAL PROFª MARIA JOSÉ ROSA </t>
  </si>
  <si>
    <t>PISO EM CONCRETO, USINADO CONVENCIONAL, FCK 30MPA, COM TELA SOLDADA NERVURADA TIPO Q-138, ACABAMENTO POLÍDO EM NÍVEL ZERO, ESP. 10CM, INCLUSIVE FORNECIMENTO, LANÇAMENTO, ADENSAMENTO, INCLUSIVE JUNTA DE DILATAÇÃO CORTADA</t>
  </si>
  <si>
    <t>ED-9320</t>
  </si>
  <si>
    <t>42,7 M DE MURO</t>
  </si>
  <si>
    <t>MURO</t>
  </si>
  <si>
    <t>ÁGUA PLUVIAL</t>
  </si>
  <si>
    <t>TUBO PVC, SÉRIE R, ÁGUA PLUVIAL, DN 150 MM, FORNECIDO E INSTALADO EM CONDUTORES VERTICAIS DE ÁGUAS PLUVIAIS. AF_06/2022</t>
  </si>
  <si>
    <t>89580</t>
  </si>
  <si>
    <t>RO-41599</t>
  </si>
  <si>
    <t>Demolição de concreto simples</t>
  </si>
  <si>
    <t>ED-49166</t>
  </si>
  <si>
    <t>CAIXA DE PASSAGEM PARA PISO, METÁLICA, TAMPA
ANTIDERRAPANTE, 300 X 300 X 120 CM</t>
  </si>
  <si>
    <t>un</t>
  </si>
  <si>
    <t>GRADIL</t>
  </si>
  <si>
    <t>ED-50727</t>
  </si>
  <si>
    <t>CHAPISCO COM ARGAMASSA, TRAÇO 1:3 (CIMENTO E AREIA), ESP. 5MM, APLICADO EM ALVENARIA/ESTRUTURA DE CONCRETO COM COLHER, INCLUSIVE ARGAMASSA COM PREPARO MECANIZADO</t>
  </si>
  <si>
    <t>94213</t>
  </si>
  <si>
    <t>TELHAMENTO COM TELHA DE AÇO/ALUMÍNIO E = 0,5 MM, COM ATÉ 2 ÁGUAS, INCLUSO IÇAMENTO. AF_07/2019</t>
  </si>
  <si>
    <t>TELHAMENTO COM TELHA DE AÇO/ALUMÍNIO E = 0,5 MM, COM ATÉ 2 ÁGUAS, INCLUSO IÇAMENTO. AF_07/2019 (FACHADEIRO)</t>
  </si>
  <si>
    <t>FORNECIMENTO DE ESTRUTURA METÁLICA E ENGRADAMENTO METÁLICO PARA TELHADO EM ARCO DE QUADRA POLIESPORTIVA EM AÇO PATINÁVEL, COBERTURA EM ARCO PADRÃO DA QUADRA
ESCOLAR, EXCLUSIVE TELHA, INCLUSIVE PILAR METÁLICO,
FABRICAÇÃO, TRANSPORTE E MONTAGEM</t>
  </si>
  <si>
    <t>ED-20572</t>
  </si>
  <si>
    <t>DATA BASE SINAPI: 07/2023 (DESONERADO) E SETOP: 04/2023 (DESONERADO)</t>
  </si>
  <si>
    <t>DATA: 22/08/2023</t>
  </si>
  <si>
    <t>2.6</t>
  </si>
  <si>
    <t>2.7</t>
  </si>
  <si>
    <t>2.8</t>
  </si>
  <si>
    <t>2.9</t>
  </si>
  <si>
    <t>3.3</t>
  </si>
  <si>
    <t>3.4</t>
  </si>
  <si>
    <t>5.5</t>
  </si>
  <si>
    <t>5.6</t>
  </si>
  <si>
    <t>5.7</t>
  </si>
  <si>
    <t>COT.</t>
  </si>
  <si>
    <t>94228</t>
  </si>
  <si>
    <t>CALHA EM CHAPA DE AÇO GALVANIZADO NÚMERO 24, DESENVOLVIMENTO DE 50 CM, INCLUSO TRANSPORTE VERTICAL. AF_07/2019</t>
  </si>
  <si>
    <t>89578</t>
  </si>
  <si>
    <t>TUBO PVC, SÉRIE R, ÁGUA PLUVIAL, DN 100 MM, FORNECIDO E INSTALADO EM CONDUTORES VERTICAIS DE ÁGUAS PLUVIAIS. AF_06/2022</t>
  </si>
  <si>
    <t>5.8</t>
  </si>
  <si>
    <t>5.9</t>
  </si>
  <si>
    <t>GRADIL LAGRADI 3D STANDARD MALHA 5 x 20 cm Ø 4,30 mm (L=2,50 H=1,53) COR A DEFINIR</t>
  </si>
  <si>
    <t>PRAZO DE EXECUÇÃO: 90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</si>
</sst>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7" fillId="2" borderId="0" xfId="8" applyFont="1" applyFill="1" applyBorder="1" applyAlignment="1">
      <alignment horizontal="right" vertical="center"/>
    </xf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6" fillId="0" borderId="1" xfId="0" applyFont="1" applyBorder="1" applyAlignment="1">
      <alignment horizontal="right" vertical="center"/>
    </xf>
    <xf numFmtId="10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41" fontId="9" fillId="0" borderId="2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3" fontId="9" fillId="0" borderId="7" xfId="0" applyNumberFormat="1" applyFont="1" applyBorder="1" applyAlignment="1">
      <alignment horizontal="right" vertical="center"/>
    </xf>
    <xf numFmtId="0" fontId="11" fillId="2" borderId="5" xfId="0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 applyProtection="1">
      <alignment horizontal="center" vertical="center" wrapText="1"/>
    </xf>
    <xf numFmtId="41" fontId="11" fillId="0" borderId="5" xfId="0" applyNumberFormat="1" applyFont="1" applyFill="1" applyBorder="1" applyAlignment="1" applyProtection="1">
      <alignment horizontal="center" vertical="center"/>
    </xf>
    <xf numFmtId="43" fontId="11" fillId="0" borderId="5" xfId="8" applyFont="1" applyFill="1" applyBorder="1" applyAlignment="1" applyProtection="1">
      <alignment horizontal="right" vertical="center"/>
    </xf>
    <xf numFmtId="43" fontId="11" fillId="0" borderId="10" xfId="8" applyFont="1" applyFill="1" applyBorder="1" applyAlignment="1" applyProtection="1">
      <alignment horizontal="right" vertical="center"/>
    </xf>
    <xf numFmtId="43" fontId="9" fillId="0" borderId="5" xfId="8" applyFont="1" applyBorder="1" applyAlignment="1">
      <alignment horizontal="right" vertical="center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43" fontId="11" fillId="2" borderId="6" xfId="8" applyFont="1" applyFill="1" applyBorder="1" applyAlignment="1" applyProtection="1">
      <alignment horizontal="right" vertical="center" wrapText="1"/>
      <protection locked="0"/>
    </xf>
    <xf numFmtId="43" fontId="11" fillId="0" borderId="4" xfId="8" applyFont="1" applyFill="1" applyBorder="1" applyAlignment="1" applyProtection="1">
      <alignment horizontal="right" vertical="center"/>
    </xf>
    <xf numFmtId="43" fontId="11" fillId="0" borderId="6" xfId="8" applyFont="1" applyBorder="1" applyAlignment="1">
      <alignment horizontal="right" vertical="center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6" xfId="0" applyNumberFormat="1" applyFont="1" applyFill="1" applyBorder="1" applyAlignment="1" applyProtection="1">
      <alignment horizontal="left" vertical="center" wrapText="1"/>
    </xf>
    <xf numFmtId="41" fontId="11" fillId="0" borderId="6" xfId="0" applyNumberFormat="1" applyFont="1" applyFill="1" applyBorder="1" applyAlignment="1" applyProtection="1">
      <alignment horizontal="center" vertical="center"/>
    </xf>
    <xf numFmtId="43" fontId="11" fillId="0" borderId="6" xfId="8" applyFont="1" applyFill="1" applyBorder="1" applyAlignment="1" applyProtection="1">
      <alignment horizontal="right" vertical="center"/>
    </xf>
    <xf numFmtId="0" fontId="6" fillId="0" borderId="7" xfId="0" applyFont="1" applyBorder="1"/>
    <xf numFmtId="4" fontId="5" fillId="0" borderId="0" xfId="0" applyNumberFormat="1" applyFont="1"/>
    <xf numFmtId="0" fontId="11" fillId="2" borderId="13" xfId="0" applyFont="1" applyFill="1" applyBorder="1" applyAlignment="1" applyProtection="1">
      <alignment horizontal="center" vertical="center" wrapText="1"/>
    </xf>
    <xf numFmtId="43" fontId="12" fillId="2" borderId="6" xfId="8" applyFont="1" applyFill="1" applyBorder="1" applyAlignment="1" applyProtection="1">
      <alignment horizontal="right" vertical="center" wrapText="1"/>
      <protection locked="0"/>
    </xf>
    <xf numFmtId="43" fontId="12" fillId="2" borderId="5" xfId="8" applyFont="1" applyFill="1" applyBorder="1" applyAlignment="1" applyProtection="1">
      <alignment horizontal="right" vertical="center" wrapText="1"/>
      <protection locked="0"/>
    </xf>
    <xf numFmtId="43" fontId="11" fillId="0" borderId="5" xfId="8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 applyBorder="1"/>
    <xf numFmtId="43" fontId="11" fillId="0" borderId="0" xfId="8" applyFont="1" applyFill="1" applyBorder="1" applyAlignment="1">
      <alignment horizontal="right" vertical="center"/>
    </xf>
    <xf numFmtId="43" fontId="12" fillId="0" borderId="0" xfId="8" applyFont="1" applyFill="1" applyBorder="1" applyAlignment="1">
      <alignment horizontal="left" vertical="center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49" fontId="11" fillId="2" borderId="13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3" xfId="0" applyNumberFormat="1" applyFont="1" applyFill="1" applyBorder="1" applyAlignment="1" applyProtection="1">
      <alignment horizontal="center" vertical="center"/>
    </xf>
    <xf numFmtId="43" fontId="11" fillId="0" borderId="13" xfId="8" applyFont="1" applyFill="1" applyBorder="1" applyAlignment="1" applyProtection="1">
      <alignment horizontal="right" vertical="center"/>
    </xf>
    <xf numFmtId="43" fontId="11" fillId="2" borderId="13" xfId="8" applyFont="1" applyFill="1" applyBorder="1" applyAlignment="1" applyProtection="1">
      <alignment horizontal="right" vertical="center" wrapText="1"/>
      <protection locked="0"/>
    </xf>
    <xf numFmtId="43" fontId="11" fillId="0" borderId="11" xfId="8" applyFont="1" applyFill="1" applyBorder="1" applyAlignment="1" applyProtection="1">
      <alignment horizontal="right" vertical="center"/>
    </xf>
    <xf numFmtId="43" fontId="11" fillId="0" borderId="13" xfId="8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2" fontId="11" fillId="0" borderId="12" xfId="0" applyNumberFormat="1" applyFont="1" applyFill="1" applyBorder="1" applyAlignment="1" applyProtection="1">
      <alignment horizontal="left" vertical="center" wrapText="1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49" fontId="11" fillId="2" borderId="18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9" xfId="0" applyNumberFormat="1" applyFont="1" applyFill="1" applyBorder="1" applyAlignment="1" applyProtection="1">
      <alignment horizontal="center" vertical="center"/>
    </xf>
    <xf numFmtId="43" fontId="11" fillId="0" borderId="19" xfId="8" applyFont="1" applyFill="1" applyBorder="1" applyAlignment="1" applyProtection="1">
      <alignment horizontal="right" vertical="center"/>
    </xf>
    <xf numFmtId="43" fontId="11" fillId="2" borderId="19" xfId="8" applyFont="1" applyFill="1" applyBorder="1" applyAlignment="1" applyProtection="1">
      <alignment horizontal="right" vertical="center" wrapText="1"/>
      <protection locked="0"/>
    </xf>
    <xf numFmtId="43" fontId="11" fillId="0" borderId="20" xfId="8" applyFont="1" applyFill="1" applyBorder="1" applyAlignment="1" applyProtection="1">
      <alignment horizontal="right" vertical="center"/>
    </xf>
    <xf numFmtId="43" fontId="11" fillId="0" borderId="19" xfId="8" applyFont="1" applyBorder="1" applyAlignment="1">
      <alignment horizontal="right" vertical="center"/>
    </xf>
    <xf numFmtId="49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43" fontId="11" fillId="2" borderId="5" xfId="8" applyFont="1" applyFill="1" applyBorder="1" applyAlignment="1" applyProtection="1">
      <alignment horizontal="righ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49" fontId="11" fillId="2" borderId="7" xfId="0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left" vertical="center" wrapText="1"/>
    </xf>
    <xf numFmtId="41" fontId="11" fillId="0" borderId="1" xfId="0" applyNumberFormat="1" applyFont="1" applyFill="1" applyBorder="1" applyAlignment="1" applyProtection="1">
      <alignment horizontal="center" vertical="center"/>
    </xf>
    <xf numFmtId="43" fontId="11" fillId="0" borderId="1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  <protection locked="0"/>
    </xf>
    <xf numFmtId="43" fontId="11" fillId="0" borderId="3" xfId="8" applyFont="1" applyFill="1" applyBorder="1" applyAlignment="1" applyProtection="1">
      <alignment horizontal="right" vertical="center"/>
    </xf>
    <xf numFmtId="43" fontId="9" fillId="0" borderId="1" xfId="8" applyFont="1" applyBorder="1" applyAlignment="1">
      <alignment horizontal="right" vertical="center"/>
    </xf>
    <xf numFmtId="2" fontId="11" fillId="0" borderId="19" xfId="0" applyNumberFormat="1" applyFont="1" applyFill="1" applyBorder="1" applyAlignment="1" applyProtection="1">
      <alignment horizontal="left" vertical="center" wrapText="1"/>
    </xf>
    <xf numFmtId="49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 applyProtection="1">
      <alignment horizontal="left" vertical="center" wrapText="1"/>
    </xf>
    <xf numFmtId="2" fontId="11" fillId="0" borderId="5" xfId="0" applyNumberFormat="1" applyFont="1" applyFill="1" applyBorder="1" applyAlignment="1" applyProtection="1">
      <alignment horizontal="left" vertical="center" wrapText="1"/>
    </xf>
    <xf numFmtId="41" fontId="11" fillId="0" borderId="17" xfId="0" applyNumberFormat="1" applyFont="1" applyFill="1" applyBorder="1" applyAlignment="1" applyProtection="1">
      <alignment horizontal="center" vertical="center"/>
    </xf>
    <xf numFmtId="43" fontId="11" fillId="0" borderId="17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</xf>
    <xf numFmtId="43" fontId="12" fillId="2" borderId="0" xfId="8" applyFont="1" applyFill="1" applyBorder="1" applyAlignment="1">
      <alignment horizontal="center" vertical="center"/>
    </xf>
    <xf numFmtId="43" fontId="11" fillId="0" borderId="0" xfId="8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2" xfId="0" applyNumberFormat="1" applyFont="1" applyFill="1" applyBorder="1" applyAlignment="1" applyProtection="1">
      <alignment horizontal="left" vertical="center" wrapText="1"/>
    </xf>
    <xf numFmtId="43" fontId="11" fillId="2" borderId="17" xfId="8" applyFont="1" applyFill="1" applyBorder="1" applyAlignment="1" applyProtection="1">
      <alignment horizontal="right" vertical="center" wrapText="1"/>
      <protection locked="0"/>
    </xf>
    <xf numFmtId="43" fontId="11" fillId="0" borderId="21" xfId="8" applyFont="1" applyFill="1" applyBorder="1" applyAlignment="1" applyProtection="1">
      <alignment horizontal="right" vertical="center"/>
    </xf>
    <xf numFmtId="43" fontId="11" fillId="0" borderId="17" xfId="8" applyFont="1" applyBorder="1" applyAlignment="1">
      <alignment horizontal="right" vertical="center"/>
    </xf>
    <xf numFmtId="43" fontId="12" fillId="0" borderId="0" xfId="8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B11" sqref="B11"/>
    </sheetView>
  </sheetViews>
  <sheetFormatPr defaultRowHeight="15" x14ac:dyDescent="0.25"/>
  <cols>
    <col min="1" max="1" width="5.42578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" customWidth="1"/>
    <col min="10" max="10" width="9.5703125" bestFit="1" customWidth="1"/>
    <col min="11" max="11" width="8.5703125" customWidth="1"/>
    <col min="12" max="12" width="10.5703125" bestFit="1" customWidth="1"/>
  </cols>
  <sheetData>
    <row r="1" spans="1:12" s="5" customFormat="1" ht="43.5" customHeight="1" x14ac:dyDescent="0.25">
      <c r="A1" s="95" t="s">
        <v>51</v>
      </c>
      <c r="B1" s="96"/>
      <c r="C1" s="96"/>
      <c r="D1" s="96"/>
      <c r="E1" s="96"/>
      <c r="F1" s="96"/>
      <c r="G1" s="96"/>
      <c r="H1" s="96"/>
      <c r="I1" s="96"/>
    </row>
    <row r="2" spans="1:12" s="5" customFormat="1" x14ac:dyDescent="0.25">
      <c r="A2" s="100" t="s">
        <v>15</v>
      </c>
      <c r="B2" s="100"/>
      <c r="C2" s="100"/>
      <c r="D2" s="100"/>
      <c r="E2" s="100"/>
      <c r="F2" s="100"/>
      <c r="G2" s="100"/>
      <c r="H2" s="100"/>
      <c r="I2" s="100"/>
    </row>
    <row r="3" spans="1:12" s="5" customFormat="1" x14ac:dyDescent="0.25">
      <c r="A3" s="102" t="s">
        <v>47</v>
      </c>
      <c r="B3" s="103"/>
      <c r="C3" s="103"/>
      <c r="D3" s="103"/>
      <c r="E3" s="103"/>
      <c r="F3" s="103"/>
      <c r="G3" s="103"/>
      <c r="H3" s="103"/>
      <c r="I3" s="104"/>
    </row>
    <row r="4" spans="1:12" s="5" customFormat="1" x14ac:dyDescent="0.25">
      <c r="A4" s="101" t="s">
        <v>75</v>
      </c>
      <c r="B4" s="101"/>
      <c r="C4" s="101"/>
      <c r="D4" s="101"/>
      <c r="E4" s="101"/>
      <c r="F4" s="101"/>
      <c r="G4" s="101"/>
      <c r="H4" s="101"/>
      <c r="I4" s="101"/>
    </row>
    <row r="5" spans="1:12" s="5" customFormat="1" x14ac:dyDescent="0.25">
      <c r="A5" s="101" t="s">
        <v>74</v>
      </c>
      <c r="B5" s="101"/>
      <c r="C5" s="101"/>
      <c r="D5" s="101"/>
      <c r="E5" s="101"/>
      <c r="F5" s="101"/>
      <c r="G5" s="101"/>
      <c r="H5" s="101"/>
      <c r="I5" s="101"/>
    </row>
    <row r="6" spans="1:12" s="5" customFormat="1" x14ac:dyDescent="0.25">
      <c r="A6" s="97" t="s">
        <v>115</v>
      </c>
      <c r="B6" s="97"/>
      <c r="C6" s="97"/>
      <c r="D6" s="97"/>
      <c r="E6" s="97"/>
      <c r="F6" s="97"/>
      <c r="G6" s="97"/>
      <c r="H6" s="97"/>
      <c r="I6" s="98"/>
    </row>
    <row r="7" spans="1:12" s="5" customFormat="1" x14ac:dyDescent="0.25">
      <c r="A7" s="97" t="s">
        <v>97</v>
      </c>
      <c r="B7" s="97"/>
      <c r="C7" s="97"/>
      <c r="D7" s="97"/>
      <c r="E7" s="97"/>
      <c r="F7" s="97"/>
      <c r="G7" s="97"/>
      <c r="H7" s="97"/>
      <c r="I7" s="98"/>
      <c r="J7" s="46"/>
    </row>
    <row r="8" spans="1:12" s="5" customFormat="1" x14ac:dyDescent="0.25">
      <c r="A8" s="97" t="s">
        <v>96</v>
      </c>
      <c r="B8" s="97"/>
      <c r="C8" s="97"/>
      <c r="D8" s="97"/>
      <c r="E8" s="97"/>
      <c r="F8" s="97"/>
      <c r="G8" s="98"/>
      <c r="H8" s="14" t="s">
        <v>13</v>
      </c>
      <c r="I8" s="15">
        <v>0.28000000000000003</v>
      </c>
      <c r="J8" s="46"/>
    </row>
    <row r="9" spans="1:12" s="1" customFormat="1" ht="38.25" x14ac:dyDescent="0.25">
      <c r="A9" s="16" t="s">
        <v>4</v>
      </c>
      <c r="B9" s="16" t="s">
        <v>5</v>
      </c>
      <c r="C9" s="16" t="s">
        <v>12</v>
      </c>
      <c r="D9" s="16" t="s">
        <v>6</v>
      </c>
      <c r="E9" s="16" t="s">
        <v>7</v>
      </c>
      <c r="F9" s="16" t="s">
        <v>8</v>
      </c>
      <c r="G9" s="17" t="s">
        <v>9</v>
      </c>
      <c r="H9" s="17" t="s">
        <v>10</v>
      </c>
      <c r="I9" s="17" t="s">
        <v>11</v>
      </c>
      <c r="J9" s="47"/>
    </row>
    <row r="10" spans="1:12" x14ac:dyDescent="0.25">
      <c r="A10" s="18"/>
      <c r="B10" s="19"/>
      <c r="C10" s="19"/>
      <c r="D10" s="20"/>
      <c r="E10" s="21"/>
      <c r="F10" s="22"/>
      <c r="G10" s="23"/>
      <c r="H10" s="23"/>
      <c r="I10" s="24"/>
      <c r="J10" s="46"/>
    </row>
    <row r="11" spans="1:12" x14ac:dyDescent="0.25">
      <c r="A11" s="70" t="s">
        <v>16</v>
      </c>
      <c r="B11" s="71"/>
      <c r="C11" s="72"/>
      <c r="D11" s="73" t="s">
        <v>33</v>
      </c>
      <c r="E11" s="74" t="s">
        <v>0</v>
      </c>
      <c r="F11" s="75"/>
      <c r="G11" s="85"/>
      <c r="H11" s="77"/>
      <c r="I11" s="78">
        <f>SUM(I12:I12)</f>
        <v>1830</v>
      </c>
      <c r="J11" s="47"/>
      <c r="K11" s="2"/>
    </row>
    <row r="12" spans="1:12" s="5" customFormat="1" ht="90" customHeight="1" x14ac:dyDescent="0.25">
      <c r="A12" s="25" t="s">
        <v>1</v>
      </c>
      <c r="B12" s="25" t="s">
        <v>27</v>
      </c>
      <c r="C12" s="26" t="s">
        <v>44</v>
      </c>
      <c r="D12" s="31" t="s">
        <v>43</v>
      </c>
      <c r="E12" s="27" t="s">
        <v>7</v>
      </c>
      <c r="F12" s="28">
        <v>1</v>
      </c>
      <c r="G12" s="44">
        <v>1429.69</v>
      </c>
      <c r="H12" s="29">
        <f t="shared" ref="H12:H21" si="0">ROUND(G12+(G12*$I$8),2)</f>
        <v>1830</v>
      </c>
      <c r="I12" s="45">
        <f t="shared" ref="I12:I20" si="1">F12*H12</f>
        <v>1830</v>
      </c>
      <c r="J12" s="47"/>
      <c r="K12" s="6"/>
    </row>
    <row r="13" spans="1:12" s="5" customFormat="1" x14ac:dyDescent="0.25">
      <c r="A13" s="70" t="s">
        <v>34</v>
      </c>
      <c r="B13" s="71"/>
      <c r="C13" s="72"/>
      <c r="D13" s="73" t="s">
        <v>79</v>
      </c>
      <c r="E13" s="74" t="s">
        <v>0</v>
      </c>
      <c r="F13" s="75"/>
      <c r="G13" s="85"/>
      <c r="H13" s="77"/>
      <c r="I13" s="78">
        <f>SUM(I14:I22)</f>
        <v>32793.222000000002</v>
      </c>
      <c r="J13" s="48" t="s">
        <v>78</v>
      </c>
      <c r="K13" s="12"/>
      <c r="L13" s="12"/>
    </row>
    <row r="14" spans="1:12" s="5" customFormat="1" ht="42" customHeight="1" x14ac:dyDescent="0.25">
      <c r="A14" s="25" t="s">
        <v>35</v>
      </c>
      <c r="B14" s="35" t="s">
        <v>2</v>
      </c>
      <c r="C14" s="36" t="s">
        <v>45</v>
      </c>
      <c r="D14" s="37" t="s">
        <v>46</v>
      </c>
      <c r="E14" s="38" t="s">
        <v>3</v>
      </c>
      <c r="F14" s="39">
        <v>22</v>
      </c>
      <c r="G14" s="32">
        <v>91.46</v>
      </c>
      <c r="H14" s="33">
        <f>ROUND(G14+(G14*$I$8),2)</f>
        <v>117.07</v>
      </c>
      <c r="I14" s="34">
        <f t="shared" si="1"/>
        <v>2575.54</v>
      </c>
      <c r="J14" s="86">
        <f>(0.25*2*2)*22</f>
        <v>22</v>
      </c>
      <c r="K14" s="3"/>
    </row>
    <row r="15" spans="1:12" s="5" customFormat="1" ht="42" customHeight="1" x14ac:dyDescent="0.25">
      <c r="A15" s="25" t="s">
        <v>36</v>
      </c>
      <c r="B15" s="35" t="s">
        <v>2</v>
      </c>
      <c r="C15" s="36" t="s">
        <v>40</v>
      </c>
      <c r="D15" s="37" t="s">
        <v>41</v>
      </c>
      <c r="E15" s="38" t="s">
        <v>28</v>
      </c>
      <c r="F15" s="39">
        <v>165</v>
      </c>
      <c r="G15" s="32">
        <v>10.68</v>
      </c>
      <c r="H15" s="33">
        <f t="shared" ref="H15" si="2">ROUND(G15+(G15*$I$8),2)</f>
        <v>13.67</v>
      </c>
      <c r="I15" s="34">
        <f t="shared" si="1"/>
        <v>2255.5500000000002</v>
      </c>
      <c r="J15" s="86">
        <f>1.65*100</f>
        <v>165</v>
      </c>
      <c r="K15" s="3"/>
    </row>
    <row r="16" spans="1:12" s="5" customFormat="1" ht="45.75" customHeight="1" x14ac:dyDescent="0.25">
      <c r="A16" s="25" t="s">
        <v>37</v>
      </c>
      <c r="B16" s="60" t="s">
        <v>2</v>
      </c>
      <c r="C16" s="61" t="s">
        <v>20</v>
      </c>
      <c r="D16" s="79" t="s">
        <v>42</v>
      </c>
      <c r="E16" s="62" t="s">
        <v>17</v>
      </c>
      <c r="F16" s="63">
        <v>1.65</v>
      </c>
      <c r="G16" s="64">
        <v>586</v>
      </c>
      <c r="H16" s="65">
        <f t="shared" si="0"/>
        <v>750.08</v>
      </c>
      <c r="I16" s="66">
        <f t="shared" si="1"/>
        <v>1237.6320000000001</v>
      </c>
      <c r="J16" s="86">
        <f t="shared" ref="J16" si="3">(0.15*0.25*2)*22</f>
        <v>1.65</v>
      </c>
      <c r="K16" s="3"/>
      <c r="L16" s="11"/>
    </row>
    <row r="17" spans="1:13" s="5" customFormat="1" ht="57" customHeight="1" x14ac:dyDescent="0.25">
      <c r="A17" s="25" t="s">
        <v>38</v>
      </c>
      <c r="B17" s="35" t="s">
        <v>2</v>
      </c>
      <c r="C17" s="80" t="s">
        <v>52</v>
      </c>
      <c r="D17" s="81" t="s">
        <v>53</v>
      </c>
      <c r="E17" s="27" t="s">
        <v>3</v>
      </c>
      <c r="F17" s="28">
        <v>86</v>
      </c>
      <c r="G17" s="69">
        <v>88</v>
      </c>
      <c r="H17" s="29">
        <f t="shared" si="0"/>
        <v>112.64</v>
      </c>
      <c r="I17" s="45">
        <f t="shared" ref="I17:I18" si="4">F17*H17</f>
        <v>9687.0400000000009</v>
      </c>
      <c r="J17" s="94">
        <f>43*2</f>
        <v>86</v>
      </c>
      <c r="K17" s="3"/>
    </row>
    <row r="18" spans="1:13" s="5" customFormat="1" ht="30.75" customHeight="1" x14ac:dyDescent="0.25">
      <c r="A18" s="25" t="s">
        <v>39</v>
      </c>
      <c r="B18" s="35" t="s">
        <v>2</v>
      </c>
      <c r="C18" s="36" t="s">
        <v>24</v>
      </c>
      <c r="D18" s="37" t="s">
        <v>25</v>
      </c>
      <c r="E18" s="38" t="s">
        <v>26</v>
      </c>
      <c r="F18" s="39">
        <v>86</v>
      </c>
      <c r="G18" s="43">
        <v>36.619999999999997</v>
      </c>
      <c r="H18" s="33">
        <f>ROUND(G18+(G18*$I$8),2)</f>
        <v>46.87</v>
      </c>
      <c r="I18" s="34">
        <f t="shared" si="4"/>
        <v>4030.8199999999997</v>
      </c>
      <c r="J18" s="50">
        <f>2*43</f>
        <v>86</v>
      </c>
      <c r="K18" s="3"/>
    </row>
    <row r="19" spans="1:13" s="5" customFormat="1" ht="53.25" customHeight="1" x14ac:dyDescent="0.25">
      <c r="A19" s="25" t="s">
        <v>98</v>
      </c>
      <c r="B19" s="35" t="s">
        <v>27</v>
      </c>
      <c r="C19" s="36" t="s">
        <v>89</v>
      </c>
      <c r="D19" s="37" t="s">
        <v>90</v>
      </c>
      <c r="E19" s="38" t="s">
        <v>3</v>
      </c>
      <c r="F19" s="39">
        <v>172</v>
      </c>
      <c r="G19" s="32">
        <v>8.5500000000000007</v>
      </c>
      <c r="H19" s="33">
        <f t="shared" si="0"/>
        <v>10.94</v>
      </c>
      <c r="I19" s="34">
        <f t="shared" si="1"/>
        <v>1881.6799999999998</v>
      </c>
      <c r="J19" s="49">
        <f>86*2</f>
        <v>172</v>
      </c>
      <c r="K19" s="3"/>
    </row>
    <row r="20" spans="1:13" s="5" customFormat="1" ht="69.75" customHeight="1" x14ac:dyDescent="0.25">
      <c r="A20" s="25" t="s">
        <v>99</v>
      </c>
      <c r="B20" s="60" t="s">
        <v>2</v>
      </c>
      <c r="C20" s="61" t="s">
        <v>29</v>
      </c>
      <c r="D20" s="79" t="s">
        <v>30</v>
      </c>
      <c r="E20" s="62" t="s">
        <v>3</v>
      </c>
      <c r="F20" s="63">
        <v>172</v>
      </c>
      <c r="G20" s="64">
        <v>35.69</v>
      </c>
      <c r="H20" s="65">
        <f t="shared" si="0"/>
        <v>45.68</v>
      </c>
      <c r="I20" s="66">
        <f t="shared" si="1"/>
        <v>7856.96</v>
      </c>
      <c r="J20" s="49">
        <f>86*2</f>
        <v>172</v>
      </c>
      <c r="K20" s="3"/>
    </row>
    <row r="21" spans="1:13" s="5" customFormat="1" ht="32.25" customHeight="1" x14ac:dyDescent="0.25">
      <c r="A21" s="25" t="s">
        <v>100</v>
      </c>
      <c r="B21" s="35" t="s">
        <v>2</v>
      </c>
      <c r="C21" s="67" t="s">
        <v>31</v>
      </c>
      <c r="D21" s="68" t="s">
        <v>49</v>
      </c>
      <c r="E21" s="27" t="s">
        <v>3</v>
      </c>
      <c r="F21" s="28">
        <v>172</v>
      </c>
      <c r="G21" s="69">
        <v>3.89</v>
      </c>
      <c r="H21" s="29">
        <f t="shared" si="0"/>
        <v>4.9800000000000004</v>
      </c>
      <c r="I21" s="45">
        <f t="shared" ref="I21:I22" si="5">F21*H21</f>
        <v>856.56000000000006</v>
      </c>
      <c r="J21" s="49">
        <f t="shared" ref="J21:J22" si="6">86*2</f>
        <v>172</v>
      </c>
      <c r="K21" s="3"/>
    </row>
    <row r="22" spans="1:13" s="5" customFormat="1" ht="35.25" customHeight="1" x14ac:dyDescent="0.25">
      <c r="A22" s="25" t="s">
        <v>101</v>
      </c>
      <c r="B22" s="51" t="s">
        <v>2</v>
      </c>
      <c r="C22" s="52" t="s">
        <v>32</v>
      </c>
      <c r="D22" s="59" t="s">
        <v>50</v>
      </c>
      <c r="E22" s="53" t="s">
        <v>3</v>
      </c>
      <c r="F22" s="54">
        <v>172</v>
      </c>
      <c r="G22" s="55">
        <v>10.95</v>
      </c>
      <c r="H22" s="56">
        <f t="shared" ref="H22" si="7">ROUND(G22+(G22*$I$8),2)</f>
        <v>14.02</v>
      </c>
      <c r="I22" s="57">
        <f t="shared" si="5"/>
        <v>2411.44</v>
      </c>
      <c r="J22" s="49">
        <f t="shared" si="6"/>
        <v>172</v>
      </c>
      <c r="K22" s="3"/>
      <c r="L22" s="11"/>
    </row>
    <row r="23" spans="1:13" s="5" customFormat="1" ht="15" customHeight="1" x14ac:dyDescent="0.25">
      <c r="A23" s="70" t="s">
        <v>54</v>
      </c>
      <c r="B23" s="71"/>
      <c r="C23" s="72"/>
      <c r="D23" s="73" t="s">
        <v>80</v>
      </c>
      <c r="E23" s="74"/>
      <c r="F23" s="75"/>
      <c r="G23" s="76"/>
      <c r="H23" s="77"/>
      <c r="I23" s="78">
        <f>SUM(I24:I27)</f>
        <v>9443.1512000000002</v>
      </c>
      <c r="J23" s="49"/>
      <c r="K23" s="3"/>
      <c r="L23" s="11"/>
    </row>
    <row r="24" spans="1:13" s="5" customFormat="1" ht="31.5" customHeight="1" x14ac:dyDescent="0.25">
      <c r="A24" s="25" t="s">
        <v>55</v>
      </c>
      <c r="B24" s="35" t="s">
        <v>2</v>
      </c>
      <c r="C24" s="80" t="s">
        <v>18</v>
      </c>
      <c r="D24" s="82" t="s">
        <v>19</v>
      </c>
      <c r="E24" s="27" t="s">
        <v>17</v>
      </c>
      <c r="F24" s="28">
        <v>6.72</v>
      </c>
      <c r="G24" s="69">
        <v>70.290000000000006</v>
      </c>
      <c r="H24" s="29">
        <f t="shared" ref="H24" si="8">ROUND(G24+(G24*$I$8),2)</f>
        <v>89.97</v>
      </c>
      <c r="I24" s="45">
        <f t="shared" ref="I24" si="9">F24*H24</f>
        <v>604.59839999999997</v>
      </c>
      <c r="J24" s="86"/>
      <c r="K24" s="10"/>
      <c r="L24" s="10"/>
      <c r="M24" s="10"/>
    </row>
    <row r="25" spans="1:13" s="5" customFormat="1" ht="22.5" customHeight="1" x14ac:dyDescent="0.25">
      <c r="A25" s="25" t="s">
        <v>56</v>
      </c>
      <c r="B25" s="35" t="s">
        <v>27</v>
      </c>
      <c r="C25" s="80" t="s">
        <v>83</v>
      </c>
      <c r="D25" s="82" t="s">
        <v>84</v>
      </c>
      <c r="E25" s="27" t="s">
        <v>17</v>
      </c>
      <c r="F25" s="28">
        <v>1.68</v>
      </c>
      <c r="G25" s="69">
        <v>139.34</v>
      </c>
      <c r="H25" s="29">
        <f t="shared" ref="H25" si="10">ROUND(G25+(G25*$I$8),2)</f>
        <v>178.36</v>
      </c>
      <c r="I25" s="45">
        <f t="shared" ref="I25" si="11">F25*H25</f>
        <v>299.64480000000003</v>
      </c>
      <c r="J25" s="49"/>
      <c r="K25" s="3"/>
      <c r="L25" s="11"/>
    </row>
    <row r="26" spans="1:13" s="5" customFormat="1" ht="42" customHeight="1" x14ac:dyDescent="0.25">
      <c r="A26" s="25" t="s">
        <v>102</v>
      </c>
      <c r="B26" s="35" t="s">
        <v>2</v>
      </c>
      <c r="C26" s="80" t="s">
        <v>82</v>
      </c>
      <c r="D26" s="82" t="s">
        <v>81</v>
      </c>
      <c r="E26" s="27" t="s">
        <v>26</v>
      </c>
      <c r="F26" s="28">
        <v>67.2</v>
      </c>
      <c r="G26" s="69">
        <v>70.81</v>
      </c>
      <c r="H26" s="29">
        <f>ROUND(G26+(G26*$I$8),2)</f>
        <v>90.64</v>
      </c>
      <c r="I26" s="45">
        <f t="shared" ref="I26:I27" si="12">F26*H26</f>
        <v>6091.0080000000007</v>
      </c>
      <c r="J26" s="86"/>
      <c r="K26" s="3"/>
    </row>
    <row r="27" spans="1:13" s="5" customFormat="1" ht="37.5" customHeight="1" x14ac:dyDescent="0.25">
      <c r="A27" s="25" t="s">
        <v>103</v>
      </c>
      <c r="B27" s="35" t="s">
        <v>27</v>
      </c>
      <c r="C27" s="36" t="s">
        <v>85</v>
      </c>
      <c r="D27" s="37" t="s">
        <v>86</v>
      </c>
      <c r="E27" s="38" t="s">
        <v>87</v>
      </c>
      <c r="F27" s="39">
        <v>10</v>
      </c>
      <c r="G27" s="32">
        <v>191.24</v>
      </c>
      <c r="H27" s="33">
        <f t="shared" ref="H27" si="13">ROUND(G27+(G27*$I$8),2)</f>
        <v>244.79</v>
      </c>
      <c r="I27" s="34">
        <f t="shared" si="12"/>
        <v>2447.9</v>
      </c>
      <c r="J27" s="87"/>
      <c r="K27" s="3"/>
    </row>
    <row r="28" spans="1:13" s="5" customFormat="1" ht="15" customHeight="1" x14ac:dyDescent="0.25">
      <c r="A28" s="70" t="s">
        <v>57</v>
      </c>
      <c r="B28" s="71"/>
      <c r="C28" s="72"/>
      <c r="D28" s="73" t="s">
        <v>68</v>
      </c>
      <c r="E28" s="74"/>
      <c r="F28" s="75"/>
      <c r="G28" s="76"/>
      <c r="H28" s="77"/>
      <c r="I28" s="78">
        <f>SUM(I29:I29)</f>
        <v>80375.537599999996</v>
      </c>
      <c r="J28" s="49"/>
      <c r="K28" s="3"/>
      <c r="L28" s="11"/>
    </row>
    <row r="29" spans="1:13" s="5" customFormat="1" ht="86.25" customHeight="1" x14ac:dyDescent="0.25">
      <c r="A29" s="25" t="s">
        <v>58</v>
      </c>
      <c r="B29" s="35" t="s">
        <v>27</v>
      </c>
      <c r="C29" s="80" t="s">
        <v>77</v>
      </c>
      <c r="D29" s="82" t="s">
        <v>76</v>
      </c>
      <c r="E29" s="27" t="s">
        <v>3</v>
      </c>
      <c r="F29" s="28">
        <v>474.64</v>
      </c>
      <c r="G29" s="69">
        <v>132.30000000000001</v>
      </c>
      <c r="H29" s="29">
        <f t="shared" ref="H29" si="14">ROUND(G29+(G29*$I$8),2)</f>
        <v>169.34</v>
      </c>
      <c r="I29" s="45">
        <f t="shared" ref="I29" si="15">F29*H29</f>
        <v>80375.537599999996</v>
      </c>
      <c r="J29" s="49"/>
      <c r="K29" s="3"/>
      <c r="L29" s="11"/>
    </row>
    <row r="30" spans="1:13" s="5" customFormat="1" ht="15" customHeight="1" x14ac:dyDescent="0.25">
      <c r="A30" s="70" t="s">
        <v>59</v>
      </c>
      <c r="B30" s="88"/>
      <c r="C30" s="89"/>
      <c r="D30" s="90" t="s">
        <v>69</v>
      </c>
      <c r="E30" s="74"/>
      <c r="F30" s="75"/>
      <c r="G30" s="76"/>
      <c r="H30" s="77"/>
      <c r="I30" s="78">
        <f>SUM(I31:I39)</f>
        <v>62823.754700000012</v>
      </c>
      <c r="J30" s="49"/>
      <c r="K30" s="3"/>
    </row>
    <row r="31" spans="1:13" s="5" customFormat="1" ht="31.5" customHeight="1" x14ac:dyDescent="0.25">
      <c r="A31" s="25" t="s">
        <v>60</v>
      </c>
      <c r="B31" s="35" t="s">
        <v>2</v>
      </c>
      <c r="C31" s="80" t="s">
        <v>18</v>
      </c>
      <c r="D31" s="82" t="s">
        <v>19</v>
      </c>
      <c r="E31" s="27" t="s">
        <v>17</v>
      </c>
      <c r="F31" s="28">
        <v>3.07</v>
      </c>
      <c r="G31" s="69">
        <v>70.290000000000006</v>
      </c>
      <c r="H31" s="29">
        <f t="shared" ref="H31" si="16">ROUND(G31+(G31*$I$8),2)</f>
        <v>89.97</v>
      </c>
      <c r="I31" s="45">
        <f t="shared" ref="I31:I34" si="17">F31*H31</f>
        <v>276.2079</v>
      </c>
      <c r="J31" s="86">
        <f>(0.8*0.8*0.8)*6</f>
        <v>3.072000000000001</v>
      </c>
      <c r="K31" s="10"/>
      <c r="L31" s="10"/>
      <c r="M31" s="10"/>
    </row>
    <row r="32" spans="1:13" s="5" customFormat="1" ht="42" customHeight="1" x14ac:dyDescent="0.25">
      <c r="A32" s="25" t="s">
        <v>61</v>
      </c>
      <c r="B32" s="35" t="s">
        <v>2</v>
      </c>
      <c r="C32" s="36" t="s">
        <v>45</v>
      </c>
      <c r="D32" s="37" t="s">
        <v>46</v>
      </c>
      <c r="E32" s="38" t="s">
        <v>3</v>
      </c>
      <c r="F32" s="39">
        <v>15.36</v>
      </c>
      <c r="G32" s="32">
        <v>91.46</v>
      </c>
      <c r="H32" s="33">
        <f>ROUND(G32+(G32*$I$8),2)</f>
        <v>117.07</v>
      </c>
      <c r="I32" s="34">
        <f t="shared" si="17"/>
        <v>1798.1951999999999</v>
      </c>
      <c r="J32" s="86">
        <f>(0.8*0.8*4)*6</f>
        <v>15.360000000000003</v>
      </c>
      <c r="K32" s="3"/>
    </row>
    <row r="33" spans="1:12" s="5" customFormat="1" ht="42" customHeight="1" x14ac:dyDescent="0.25">
      <c r="A33" s="25" t="s">
        <v>62</v>
      </c>
      <c r="B33" s="35" t="s">
        <v>2</v>
      </c>
      <c r="C33" s="36" t="s">
        <v>40</v>
      </c>
      <c r="D33" s="37" t="s">
        <v>41</v>
      </c>
      <c r="E33" s="38" t="s">
        <v>28</v>
      </c>
      <c r="F33" s="39">
        <v>307</v>
      </c>
      <c r="G33" s="32">
        <v>10.68</v>
      </c>
      <c r="H33" s="33">
        <f t="shared" ref="H33:H34" si="18">ROUND(G33+(G33*$I$8),2)</f>
        <v>13.67</v>
      </c>
      <c r="I33" s="34">
        <f t="shared" si="17"/>
        <v>4196.6899999999996</v>
      </c>
      <c r="J33" s="86">
        <f>3.07*100</f>
        <v>307</v>
      </c>
      <c r="K33" s="3"/>
    </row>
    <row r="34" spans="1:12" s="5" customFormat="1" ht="45.75" customHeight="1" x14ac:dyDescent="0.25">
      <c r="A34" s="25" t="s">
        <v>63</v>
      </c>
      <c r="B34" s="60" t="s">
        <v>2</v>
      </c>
      <c r="C34" s="61" t="s">
        <v>20</v>
      </c>
      <c r="D34" s="79" t="s">
        <v>42</v>
      </c>
      <c r="E34" s="62" t="s">
        <v>17</v>
      </c>
      <c r="F34" s="63">
        <v>3.07</v>
      </c>
      <c r="G34" s="64">
        <v>586</v>
      </c>
      <c r="H34" s="65">
        <f t="shared" si="18"/>
        <v>750.08</v>
      </c>
      <c r="I34" s="66">
        <f t="shared" si="17"/>
        <v>2302.7456000000002</v>
      </c>
      <c r="J34" s="86">
        <f>(0.8*0.8*0.8)*6</f>
        <v>3.072000000000001</v>
      </c>
      <c r="K34" s="3"/>
      <c r="L34" s="11"/>
    </row>
    <row r="35" spans="1:12" s="5" customFormat="1" ht="89.25" x14ac:dyDescent="0.25">
      <c r="A35" s="25" t="s">
        <v>104</v>
      </c>
      <c r="B35" s="35" t="s">
        <v>27</v>
      </c>
      <c r="C35" s="67" t="s">
        <v>95</v>
      </c>
      <c r="D35" s="68" t="s">
        <v>94</v>
      </c>
      <c r="E35" s="27" t="s">
        <v>3</v>
      </c>
      <c r="F35" s="28">
        <v>110.4</v>
      </c>
      <c r="G35" s="69">
        <v>261.89</v>
      </c>
      <c r="H35" s="29">
        <f t="shared" ref="H35:H36" si="19">ROUND(G35+(G35*$I$8),2)</f>
        <v>335.22</v>
      </c>
      <c r="I35" s="45">
        <f t="shared" ref="I35:I36" si="20">F35*H35</f>
        <v>37008.288000000008</v>
      </c>
      <c r="J35" s="49"/>
      <c r="K35" s="3"/>
    </row>
    <row r="36" spans="1:12" s="5" customFormat="1" ht="47.25" customHeight="1" x14ac:dyDescent="0.25">
      <c r="A36" s="25" t="s">
        <v>105</v>
      </c>
      <c r="B36" s="35" t="s">
        <v>2</v>
      </c>
      <c r="C36" s="67" t="s">
        <v>91</v>
      </c>
      <c r="D36" s="68" t="s">
        <v>92</v>
      </c>
      <c r="E36" s="83" t="s">
        <v>3</v>
      </c>
      <c r="F36" s="84">
        <v>110.4</v>
      </c>
      <c r="G36" s="91">
        <v>65.13</v>
      </c>
      <c r="H36" s="92">
        <f t="shared" si="19"/>
        <v>83.37</v>
      </c>
      <c r="I36" s="93">
        <f t="shared" si="20"/>
        <v>9204.0480000000007</v>
      </c>
      <c r="J36" s="94">
        <f>13.8*8</f>
        <v>110.4</v>
      </c>
      <c r="K36" s="3"/>
    </row>
    <row r="37" spans="1:12" s="5" customFormat="1" ht="47.25" customHeight="1" x14ac:dyDescent="0.25">
      <c r="A37" s="25" t="s">
        <v>106</v>
      </c>
      <c r="B37" s="35" t="s">
        <v>2</v>
      </c>
      <c r="C37" s="67" t="s">
        <v>91</v>
      </c>
      <c r="D37" s="68" t="s">
        <v>93</v>
      </c>
      <c r="E37" s="83" t="s">
        <v>3</v>
      </c>
      <c r="F37" s="84">
        <v>42</v>
      </c>
      <c r="G37" s="91">
        <v>65.13</v>
      </c>
      <c r="H37" s="92">
        <f t="shared" ref="H37:H39" si="21">ROUND(G37+(G37*$I$8),2)</f>
        <v>83.37</v>
      </c>
      <c r="I37" s="93">
        <f t="shared" ref="I37:I39" si="22">F37*H37</f>
        <v>3501.54</v>
      </c>
      <c r="J37" s="94">
        <f>(8+8+13+13)*1</f>
        <v>42</v>
      </c>
      <c r="K37" s="3"/>
    </row>
    <row r="38" spans="1:12" s="5" customFormat="1" ht="46.5" customHeight="1" x14ac:dyDescent="0.25">
      <c r="A38" s="25" t="s">
        <v>112</v>
      </c>
      <c r="B38" s="35" t="s">
        <v>2</v>
      </c>
      <c r="C38" s="67" t="s">
        <v>108</v>
      </c>
      <c r="D38" s="68" t="s">
        <v>109</v>
      </c>
      <c r="E38" s="83" t="s">
        <v>26</v>
      </c>
      <c r="F38" s="84">
        <v>28</v>
      </c>
      <c r="G38" s="91">
        <v>97.32</v>
      </c>
      <c r="H38" s="92">
        <f t="shared" si="21"/>
        <v>124.57</v>
      </c>
      <c r="I38" s="93">
        <f t="shared" si="22"/>
        <v>3487.96</v>
      </c>
      <c r="J38" s="94">
        <f>13.8*2</f>
        <v>27.6</v>
      </c>
      <c r="K38" s="3"/>
    </row>
    <row r="39" spans="1:12" s="5" customFormat="1" ht="46.5" customHeight="1" x14ac:dyDescent="0.25">
      <c r="A39" s="25" t="s">
        <v>113</v>
      </c>
      <c r="B39" s="35" t="s">
        <v>2</v>
      </c>
      <c r="C39" s="67" t="s">
        <v>110</v>
      </c>
      <c r="D39" s="68" t="s">
        <v>111</v>
      </c>
      <c r="E39" s="83" t="s">
        <v>26</v>
      </c>
      <c r="F39" s="84">
        <v>24</v>
      </c>
      <c r="G39" s="91">
        <v>34.119999999999997</v>
      </c>
      <c r="H39" s="92">
        <f t="shared" si="21"/>
        <v>43.67</v>
      </c>
      <c r="I39" s="93">
        <f t="shared" si="22"/>
        <v>1048.08</v>
      </c>
      <c r="J39" s="94">
        <f>4*6</f>
        <v>24</v>
      </c>
      <c r="K39" s="3"/>
      <c r="L39" s="11"/>
    </row>
    <row r="40" spans="1:12" s="5" customFormat="1" ht="15" customHeight="1" x14ac:dyDescent="0.25">
      <c r="A40" s="70" t="s">
        <v>64</v>
      </c>
      <c r="B40" s="88"/>
      <c r="C40" s="89"/>
      <c r="D40" s="90" t="s">
        <v>88</v>
      </c>
      <c r="E40" s="74"/>
      <c r="F40" s="75"/>
      <c r="G40" s="76"/>
      <c r="H40" s="77"/>
      <c r="I40" s="78">
        <f>SUM(I41:I41)</f>
        <v>34664.414400000001</v>
      </c>
      <c r="J40" s="49"/>
      <c r="K40" s="3"/>
    </row>
    <row r="41" spans="1:12" s="5" customFormat="1" ht="39.75" customHeight="1" x14ac:dyDescent="0.25">
      <c r="A41" s="25" t="s">
        <v>65</v>
      </c>
      <c r="B41" s="35" t="s">
        <v>107</v>
      </c>
      <c r="C41" s="67"/>
      <c r="D41" s="68" t="s">
        <v>114</v>
      </c>
      <c r="E41" s="27" t="s">
        <v>3</v>
      </c>
      <c r="F41" s="28">
        <v>73.44</v>
      </c>
      <c r="G41" s="69">
        <v>368.76</v>
      </c>
      <c r="H41" s="29">
        <f t="shared" ref="H41" si="23">ROUND(G41+(G41*$I$8),2)</f>
        <v>472.01</v>
      </c>
      <c r="I41" s="45">
        <f t="shared" ref="I41" si="24">F41*H41</f>
        <v>34664.414400000001</v>
      </c>
      <c r="J41" s="49">
        <f>48*1.53</f>
        <v>73.44</v>
      </c>
      <c r="K41" s="3"/>
    </row>
    <row r="42" spans="1:12" s="5" customFormat="1" ht="15" customHeight="1" x14ac:dyDescent="0.25">
      <c r="A42" s="70" t="s">
        <v>66</v>
      </c>
      <c r="B42" s="88"/>
      <c r="C42" s="89"/>
      <c r="D42" s="90" t="s">
        <v>70</v>
      </c>
      <c r="E42" s="74"/>
      <c r="F42" s="75"/>
      <c r="G42" s="76"/>
      <c r="H42" s="77"/>
      <c r="I42" s="78">
        <f>SUM(I43)</f>
        <v>914.11199999999997</v>
      </c>
      <c r="J42" s="49"/>
      <c r="K42" s="3"/>
    </row>
    <row r="43" spans="1:12" s="5" customFormat="1" ht="15" customHeight="1" x14ac:dyDescent="0.25">
      <c r="A43" s="42" t="s">
        <v>67</v>
      </c>
      <c r="B43" s="51" t="s">
        <v>27</v>
      </c>
      <c r="C43" s="52" t="s">
        <v>72</v>
      </c>
      <c r="D43" s="59" t="s">
        <v>71</v>
      </c>
      <c r="E43" s="53" t="s">
        <v>3</v>
      </c>
      <c r="F43" s="54">
        <v>110.4</v>
      </c>
      <c r="G43" s="55">
        <v>6.47</v>
      </c>
      <c r="H43" s="56">
        <f t="shared" ref="H43" si="25">ROUND(G43+(G43*$I$8),2)</f>
        <v>8.2799999999999994</v>
      </c>
      <c r="I43" s="57">
        <f t="shared" ref="I43" si="26">F43*H43</f>
        <v>914.11199999999997</v>
      </c>
      <c r="J43" s="49"/>
      <c r="K43" s="3"/>
    </row>
    <row r="44" spans="1:12" s="5" customFormat="1" ht="17.25" customHeight="1" x14ac:dyDescent="0.25">
      <c r="A44" s="107" t="s">
        <v>73</v>
      </c>
      <c r="B44" s="108"/>
      <c r="C44" s="108"/>
      <c r="D44" s="108"/>
      <c r="E44" s="108"/>
      <c r="F44" s="108"/>
      <c r="G44" s="108"/>
      <c r="H44" s="109"/>
      <c r="I44" s="30">
        <f>SUM(I11+I13+I23+I28+I30+I40+I42)-0.01</f>
        <v>222844.1819</v>
      </c>
      <c r="J44" s="49"/>
      <c r="K44" s="3"/>
    </row>
    <row r="45" spans="1:12" s="5" customFormat="1" x14ac:dyDescent="0.25">
      <c r="A45" s="105"/>
      <c r="B45" s="106"/>
      <c r="C45" s="106"/>
      <c r="D45" s="106"/>
      <c r="E45" s="106"/>
      <c r="F45" s="106"/>
      <c r="G45" s="106"/>
      <c r="H45" s="106"/>
      <c r="I45" s="40"/>
      <c r="J45" s="46"/>
    </row>
    <row r="46" spans="1:12" s="5" customFormat="1" x14ac:dyDescent="0.25">
      <c r="A46" s="47"/>
      <c r="B46" s="47"/>
      <c r="C46" s="47"/>
      <c r="D46" s="58"/>
      <c r="E46" s="13"/>
      <c r="F46" s="4"/>
      <c r="G46" s="4"/>
      <c r="H46" s="4"/>
      <c r="I46" s="4"/>
    </row>
    <row r="47" spans="1:12" s="5" customFormat="1" x14ac:dyDescent="0.25">
      <c r="A47" s="13"/>
      <c r="B47" s="13"/>
      <c r="C47" s="13"/>
      <c r="D47" s="13"/>
      <c r="E47" s="13"/>
      <c r="F47" s="4"/>
      <c r="G47" s="4"/>
      <c r="H47" s="4"/>
      <c r="I47" s="41"/>
    </row>
    <row r="48" spans="1:12" s="5" customFormat="1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8" t="s">
        <v>21</v>
      </c>
      <c r="B50" s="4"/>
      <c r="C50" s="4"/>
      <c r="D50" s="4"/>
      <c r="E50" s="99" t="s">
        <v>48</v>
      </c>
      <c r="F50" s="99"/>
      <c r="G50" s="99"/>
      <c r="H50" s="99"/>
      <c r="I50" s="8"/>
    </row>
    <row r="51" spans="1:9" x14ac:dyDescent="0.25">
      <c r="A51" s="7" t="s">
        <v>22</v>
      </c>
      <c r="B51" s="8"/>
      <c r="C51" s="8"/>
      <c r="D51" s="8"/>
      <c r="E51" s="99" t="s">
        <v>23</v>
      </c>
      <c r="F51" s="99"/>
      <c r="G51" s="99"/>
      <c r="H51" s="99"/>
      <c r="I51" s="9"/>
    </row>
    <row r="52" spans="1:9" x14ac:dyDescent="0.25">
      <c r="A52" s="7" t="s">
        <v>14</v>
      </c>
      <c r="B52" s="8"/>
      <c r="C52" s="8"/>
      <c r="D52" s="8"/>
      <c r="E52" s="8"/>
      <c r="F52" s="8"/>
      <c r="G52" s="8"/>
      <c r="H52" s="8"/>
      <c r="I52" s="8"/>
    </row>
    <row r="53" spans="1:9" x14ac:dyDescent="0.25">
      <c r="A53" s="7"/>
      <c r="B53" s="8"/>
      <c r="C53" s="8"/>
      <c r="D53" s="8"/>
    </row>
  </sheetData>
  <mergeCells count="12">
    <mergeCell ref="A1:I1"/>
    <mergeCell ref="A6:I6"/>
    <mergeCell ref="E50:H50"/>
    <mergeCell ref="E51:H51"/>
    <mergeCell ref="A2:I2"/>
    <mergeCell ref="A4:I4"/>
    <mergeCell ref="A5:I5"/>
    <mergeCell ref="A8:G8"/>
    <mergeCell ref="A3:I3"/>
    <mergeCell ref="A7:I7"/>
    <mergeCell ref="A45:H45"/>
    <mergeCell ref="A44:H44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  <ignoredErrors>
    <ignoredError sqref="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User</cp:lastModifiedBy>
  <cp:lastPrinted>2023-08-25T11:26:36Z</cp:lastPrinted>
  <dcterms:created xsi:type="dcterms:W3CDTF">2019-06-10T18:07:57Z</dcterms:created>
  <dcterms:modified xsi:type="dcterms:W3CDTF">2023-09-18T18:20:55Z</dcterms:modified>
</cp:coreProperties>
</file>