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nicípio\Documents\Pc Dani\Dani\DANIELE\Editais\Editais 2021\Tomada de Preços\TP 006-2021 Reforma e Ampliação Maria de Fátima\"/>
    </mc:Choice>
  </mc:AlternateContent>
  <bookViews>
    <workbookView xWindow="240" yWindow="45" windowWidth="20115" windowHeight="7995"/>
  </bookViews>
  <sheets>
    <sheet name="Plan1" sheetId="1" r:id="rId1"/>
    <sheet name="Plan2" sheetId="2" r:id="rId2"/>
    <sheet name="Plan3" sheetId="3" r:id="rId3"/>
  </sheets>
  <definedNames>
    <definedName name="_xlnm.Print_Area" localSheetId="0">Plan1!$A$1:$I$134</definedName>
  </definedNames>
  <calcPr calcId="162913"/>
</workbook>
</file>

<file path=xl/calcChain.xml><?xml version="1.0" encoding="utf-8"?>
<calcChain xmlns="http://schemas.openxmlformats.org/spreadsheetml/2006/main">
  <c r="H14" i="1" l="1"/>
  <c r="I14" i="1" s="1"/>
  <c r="H16" i="1" l="1"/>
  <c r="I16" i="1" s="1"/>
  <c r="H17" i="1"/>
  <c r="I17" i="1" s="1"/>
  <c r="H18" i="1"/>
  <c r="I18" i="1" s="1"/>
  <c r="H15" i="1"/>
  <c r="I15" i="1" s="1"/>
  <c r="H124" i="1" l="1"/>
  <c r="I124" i="1" s="1"/>
  <c r="H123" i="1"/>
  <c r="I123" i="1" s="1"/>
  <c r="J89" i="1"/>
  <c r="H89" i="1" l="1"/>
  <c r="I89" i="1" s="1"/>
  <c r="J21" i="1" l="1"/>
  <c r="J94" i="1" l="1"/>
  <c r="J92" i="1"/>
  <c r="J44" i="1"/>
  <c r="J40" i="1"/>
  <c r="J39" i="1"/>
  <c r="H44" i="1" l="1"/>
  <c r="I44" i="1" s="1"/>
  <c r="J73" i="1" l="1"/>
  <c r="J74" i="1"/>
  <c r="J72" i="1"/>
  <c r="J47" i="1"/>
  <c r="J33" i="1"/>
  <c r="J32" i="1"/>
  <c r="J29" i="1"/>
  <c r="J30" i="1"/>
  <c r="J28" i="1"/>
  <c r="J27" i="1"/>
  <c r="J26" i="1"/>
  <c r="J24" i="1"/>
  <c r="J25" i="1"/>
  <c r="H112" i="1" l="1"/>
  <c r="I112" i="1" s="1"/>
  <c r="J101" i="1"/>
  <c r="J109" i="1"/>
  <c r="J108" i="1"/>
  <c r="H108" i="1"/>
  <c r="I108" i="1" s="1"/>
  <c r="H109" i="1"/>
  <c r="I109" i="1" s="1"/>
  <c r="J13" i="1"/>
  <c r="H13" i="1"/>
  <c r="I13" i="1" s="1"/>
  <c r="H62" i="1"/>
  <c r="I62" i="1" s="1"/>
  <c r="J52" i="1"/>
  <c r="H22" i="1"/>
  <c r="I22" i="1" s="1"/>
  <c r="H21" i="1"/>
  <c r="I21" i="1" s="1"/>
  <c r="J118" i="1"/>
  <c r="J126" i="1"/>
  <c r="J102" i="1"/>
  <c r="J98" i="1"/>
  <c r="J97" i="1"/>
  <c r="J96" i="1"/>
  <c r="J93" i="1"/>
  <c r="J91" i="1"/>
  <c r="J88" i="1"/>
  <c r="J87" i="1"/>
  <c r="J85" i="1"/>
  <c r="J84" i="1"/>
  <c r="J83" i="1"/>
  <c r="J82" i="1"/>
  <c r="J31" i="1"/>
  <c r="J81" i="1"/>
  <c r="J80" i="1"/>
  <c r="J78" i="1"/>
  <c r="J77" i="1"/>
  <c r="J76" i="1"/>
  <c r="J75" i="1"/>
  <c r="J51" i="1" l="1"/>
  <c r="J48" i="1"/>
  <c r="J46" i="1"/>
  <c r="J45" i="1"/>
  <c r="J42" i="1"/>
  <c r="J41" i="1"/>
  <c r="J37" i="1"/>
  <c r="J36" i="1"/>
  <c r="J35" i="1"/>
  <c r="J23" i="1"/>
  <c r="J20" i="1" l="1"/>
  <c r="H122" i="1" l="1"/>
  <c r="I122" i="1" s="1"/>
  <c r="H88" i="1" l="1"/>
  <c r="I88" i="1" s="1"/>
  <c r="H120" i="1"/>
  <c r="I120" i="1" s="1"/>
  <c r="H121" i="1"/>
  <c r="I121" i="1" s="1"/>
  <c r="H119" i="1"/>
  <c r="I119" i="1" s="1"/>
  <c r="H118" i="1"/>
  <c r="I118" i="1" s="1"/>
  <c r="H116" i="1"/>
  <c r="I116" i="1" s="1"/>
  <c r="H115" i="1"/>
  <c r="I115" i="1" s="1"/>
  <c r="H114" i="1"/>
  <c r="I114" i="1" s="1"/>
  <c r="H113" i="1"/>
  <c r="I113" i="1" s="1"/>
  <c r="H111" i="1"/>
  <c r="I111" i="1" s="1"/>
  <c r="H66" i="1"/>
  <c r="I66" i="1" s="1"/>
  <c r="H68" i="1"/>
  <c r="I68" i="1" s="1"/>
  <c r="H67" i="1"/>
  <c r="I67" i="1" s="1"/>
  <c r="H65" i="1"/>
  <c r="I65" i="1" s="1"/>
  <c r="H64" i="1"/>
  <c r="I64" i="1" s="1"/>
  <c r="H63" i="1"/>
  <c r="I63" i="1" s="1"/>
  <c r="H61" i="1"/>
  <c r="I61" i="1" s="1"/>
  <c r="H107" i="1"/>
  <c r="I107" i="1" s="1"/>
  <c r="H106" i="1"/>
  <c r="I106" i="1" s="1"/>
  <c r="H105" i="1"/>
  <c r="I105" i="1" s="1"/>
  <c r="H104" i="1"/>
  <c r="I104" i="1" s="1"/>
  <c r="H51" i="1"/>
  <c r="I51" i="1" s="1"/>
  <c r="H52" i="1"/>
  <c r="I52" i="1" s="1"/>
  <c r="H50" i="1"/>
  <c r="I50" i="1" s="1"/>
  <c r="H48" i="1"/>
  <c r="I48" i="1" s="1"/>
  <c r="H56" i="1"/>
  <c r="I56" i="1" s="1"/>
  <c r="H55" i="1"/>
  <c r="I55" i="1" s="1"/>
  <c r="I117" i="1" l="1"/>
  <c r="I103" i="1"/>
  <c r="I110" i="1"/>
  <c r="I60" i="1"/>
  <c r="I49" i="1"/>
  <c r="H86" i="1" l="1"/>
  <c r="I86" i="1" s="1"/>
  <c r="H87" i="1"/>
  <c r="I87" i="1" s="1"/>
  <c r="H81" i="1" l="1"/>
  <c r="I81" i="1" s="1"/>
  <c r="H31" i="1"/>
  <c r="I31" i="1" s="1"/>
  <c r="H30" i="1"/>
  <c r="I30" i="1" s="1"/>
  <c r="H29" i="1"/>
  <c r="I29" i="1" s="1"/>
  <c r="H28" i="1"/>
  <c r="I28" i="1" s="1"/>
  <c r="H59" i="1" l="1"/>
  <c r="I59" i="1" s="1"/>
  <c r="H58" i="1"/>
  <c r="I58" i="1" s="1"/>
  <c r="I57" i="1" l="1"/>
  <c r="H54" i="1"/>
  <c r="I54" i="1" s="1"/>
  <c r="I53" i="1" l="1"/>
  <c r="H126" i="1" l="1"/>
  <c r="I126" i="1" s="1"/>
  <c r="I125" i="1" s="1"/>
  <c r="H40" i="1" l="1"/>
  <c r="I40" i="1" s="1"/>
  <c r="H39" i="1"/>
  <c r="I39" i="1" s="1"/>
  <c r="H91" i="1"/>
  <c r="I91" i="1" s="1"/>
  <c r="H92" i="1"/>
  <c r="I92" i="1" s="1"/>
  <c r="H85" i="1"/>
  <c r="I85" i="1" s="1"/>
  <c r="H84" i="1"/>
  <c r="I84" i="1" s="1"/>
  <c r="H98" i="1"/>
  <c r="I98" i="1" s="1"/>
  <c r="H97" i="1"/>
  <c r="I97" i="1" s="1"/>
  <c r="H96" i="1"/>
  <c r="I96" i="1" s="1"/>
  <c r="H94" i="1"/>
  <c r="I94" i="1" s="1"/>
  <c r="H93" i="1"/>
  <c r="I93" i="1" s="1"/>
  <c r="H83" i="1"/>
  <c r="I83" i="1" s="1"/>
  <c r="H82" i="1"/>
  <c r="I82" i="1" s="1"/>
  <c r="H80" i="1"/>
  <c r="I80" i="1" s="1"/>
  <c r="H78" i="1"/>
  <c r="I78" i="1" s="1"/>
  <c r="H77" i="1"/>
  <c r="I77" i="1" s="1"/>
  <c r="H76" i="1"/>
  <c r="I76" i="1" s="1"/>
  <c r="H75" i="1"/>
  <c r="I75" i="1" s="1"/>
  <c r="H74" i="1"/>
  <c r="I74" i="1" s="1"/>
  <c r="H73" i="1"/>
  <c r="I73" i="1" s="1"/>
  <c r="H72" i="1"/>
  <c r="I72" i="1" s="1"/>
  <c r="H41" i="1"/>
  <c r="I41" i="1" s="1"/>
  <c r="I79" i="1" l="1"/>
  <c r="I95" i="1"/>
  <c r="I90" i="1"/>
  <c r="I71" i="1"/>
  <c r="H42" i="1" l="1"/>
  <c r="I42" i="1" s="1"/>
  <c r="I38" i="1" s="1"/>
  <c r="H35" i="1"/>
  <c r="I35" i="1" s="1"/>
  <c r="H36" i="1"/>
  <c r="I36" i="1" s="1"/>
  <c r="H37" i="1"/>
  <c r="I37" i="1" s="1"/>
  <c r="I34" i="1" l="1"/>
  <c r="J12" i="1" l="1"/>
  <c r="H23" i="1"/>
  <c r="I23" i="1" s="1"/>
  <c r="H24" i="1"/>
  <c r="I24" i="1" s="1"/>
  <c r="H25" i="1"/>
  <c r="I25" i="1" s="1"/>
  <c r="H26" i="1"/>
  <c r="I26" i="1" s="1"/>
  <c r="H27" i="1"/>
  <c r="I27" i="1" s="1"/>
  <c r="H32" i="1"/>
  <c r="I32" i="1" s="1"/>
  <c r="H33" i="1"/>
  <c r="I33" i="1" s="1"/>
  <c r="H45" i="1"/>
  <c r="I45" i="1" s="1"/>
  <c r="H46" i="1"/>
  <c r="I46" i="1" s="1"/>
  <c r="H47" i="1"/>
  <c r="I47" i="1" s="1"/>
  <c r="H100" i="1"/>
  <c r="I100" i="1" s="1"/>
  <c r="H101" i="1"/>
  <c r="I101" i="1" s="1"/>
  <c r="H102" i="1"/>
  <c r="I102" i="1" s="1"/>
  <c r="H20" i="1"/>
  <c r="I20" i="1" s="1"/>
  <c r="H12" i="1"/>
  <c r="I12" i="1" s="1"/>
  <c r="I11" i="1" s="1"/>
  <c r="I43" i="1" l="1"/>
  <c r="I19" i="1"/>
  <c r="I99" i="1"/>
  <c r="I70" i="1" s="1"/>
  <c r="I10" i="1" l="1"/>
  <c r="I9" i="1" s="1"/>
</calcChain>
</file>

<file path=xl/sharedStrings.xml><?xml version="1.0" encoding="utf-8"?>
<sst xmlns="http://schemas.openxmlformats.org/spreadsheetml/2006/main" count="559" uniqueCount="303">
  <si>
    <t>TOTAL</t>
  </si>
  <si>
    <t/>
  </si>
  <si>
    <t>1.1</t>
  </si>
  <si>
    <t>SINAPI</t>
  </si>
  <si>
    <t>SERVIÇOS PRELIMINARES</t>
  </si>
  <si>
    <t>1.1.1</t>
  </si>
  <si>
    <t>M2</t>
  </si>
  <si>
    <t>1.2</t>
  </si>
  <si>
    <t>FUNDAÇÃO E SUPERESTRUTURA</t>
  </si>
  <si>
    <t>1.2.1</t>
  </si>
  <si>
    <t>93358</t>
  </si>
  <si>
    <t>ESCAVAÇÃO MANUAL DE VALA COM PROFUNDIDADE MENOR OU IGUAL A 1,30 M. AF_03/2016</t>
  </si>
  <si>
    <t>M3</t>
  </si>
  <si>
    <t>1.2.2</t>
  </si>
  <si>
    <t>M</t>
  </si>
  <si>
    <t>1.2.3</t>
  </si>
  <si>
    <t>96536</t>
  </si>
  <si>
    <t>FABRICAÇÃO, MONTAGEM E DESMONTAGEM DE FÔRMA PARA VIGA BALDRAME, EM MADEIRA SERRADA, E=25 MM, 4 UTILIZAÇÕES. AF_06/2017</t>
  </si>
  <si>
    <t>1.2.5</t>
  </si>
  <si>
    <t>92778</t>
  </si>
  <si>
    <t>ARMAÇÃO DE PILAR OU VIGA DE UMA ESTRUTURA CONVENCIONAL DE CONCRETO ARMADO EM UMA EDIFICAÇÃO TÉRREA OU SOBRADO UTILIZANDO AÇO CA-50 DE 10,0 MM - MONTAGEM. AF_12/2015</t>
  </si>
  <si>
    <t>KG</t>
  </si>
  <si>
    <t>1.2.7</t>
  </si>
  <si>
    <t>1.2.9</t>
  </si>
  <si>
    <t>87467</t>
  </si>
  <si>
    <t>ALVENARIA DE VEDAÇÃO DE BLOCOS VAZADOS DE CONCRETO DE 14X19X39CM (ESPESSURA 14CM) DE PAREDES COM ÁREA LÍQUIDA MAIOR OU IGUAL A 6M² COM VÃOS E ARGAMASSA DE ASSENTAMENTO COM PREPARO EM BETONEIRA. AF_06/2014</t>
  </si>
  <si>
    <t>93204</t>
  </si>
  <si>
    <t>CINTA DE AMARRAÇÃO DE ALVENARIA MOLDADA IN LOCO EM CONCRETO. AF_03/2016</t>
  </si>
  <si>
    <t>87879</t>
  </si>
  <si>
    <t>CHAPISCO APLICADO EM ALVENARIAS E ESTRUTURAS DE CONCRETO INTERNAS, COM COLHER DE PEDREIRO.  ARGAMASSA TRAÇO 1:3 COM PREPARO EM BETONEIRA 400L. AF_06/2014</t>
  </si>
  <si>
    <t>87529</t>
  </si>
  <si>
    <t>MASSA ÚNICA, PARA RECEBIMENTO DE PINTURA, EM ARGAMASSA TRAÇO 1:2:8, PREPARO MECÂNICO COM BETONEIRA 400L, APLICADA MANUALMENTE EM FACES INTERNAS DE PAREDES, ESPESSURA DE 20MM, COM EXECUÇÃO DE TALISCAS. AF_06/2014</t>
  </si>
  <si>
    <t>Composição</t>
  </si>
  <si>
    <t>1.3</t>
  </si>
  <si>
    <t>COBERTURA</t>
  </si>
  <si>
    <t>1.3.2</t>
  </si>
  <si>
    <t>1.4</t>
  </si>
  <si>
    <t>PISOS</t>
  </si>
  <si>
    <t>1.4.1</t>
  </si>
  <si>
    <t>94438</t>
  </si>
  <si>
    <t>(COMPOSIÇÃO REPRESENTATIVA) DO SERVIÇO DE CONTRAPISO EM ARGAMASSA TRAÇO 1:4 (CIM E AREIA), EM BETONEIRA 400 L, ESPESSURA 3 CM ÁREAS SECAS E 3 CM ÁREAS MOLHADAS, PARA EDIFICAÇÃO HABITACIONAL UNIFAMILIAR (CASA) E EDIFICAÇÃO PÚBLICA PADRÃO. AF_11/2014</t>
  </si>
  <si>
    <t>1.4.2</t>
  </si>
  <si>
    <t>87250</t>
  </si>
  <si>
    <t>1.4.3</t>
  </si>
  <si>
    <t>1.5</t>
  </si>
  <si>
    <t>1.5.1</t>
  </si>
  <si>
    <t>UN</t>
  </si>
  <si>
    <t>1.5.2</t>
  </si>
  <si>
    <t>1.5.3</t>
  </si>
  <si>
    <t>SINAPI-I</t>
  </si>
  <si>
    <t>4828</t>
  </si>
  <si>
    <t>SOLEIRA/ PEITORIL EM MARMORE, POLIDO, BRANCO COMUM, L= *15* CM, E=  *2* CM,  CORTE RETO</t>
  </si>
  <si>
    <t>PINTURA</t>
  </si>
  <si>
    <t>1.6.2</t>
  </si>
  <si>
    <t>88489</t>
  </si>
  <si>
    <t>APLICAÇÃO MANUAL DE PINTURA COM TINTA LÁTEX ACRÍLICA EM PAREDES, DUAS DEMÃOS. AF_06/2014</t>
  </si>
  <si>
    <t>1.7</t>
  </si>
  <si>
    <t>INSTALAÇÃO ELÉTRICA</t>
  </si>
  <si>
    <t>1.7.1</t>
  </si>
  <si>
    <t xml:space="preserve">UN    </t>
  </si>
  <si>
    <t>1.7.2</t>
  </si>
  <si>
    <t>91926</t>
  </si>
  <si>
    <t>CABO DE COBRE FLEXÍVEL ISOLADO, 2,5 MM², ANTI-CHAMA 450/750 V, PARA CIRCUITOS TERMINAIS - FORNECIMENTO E INSTALAÇÃO. AF_12/2015</t>
  </si>
  <si>
    <t>1.7.3</t>
  </si>
  <si>
    <t>91930</t>
  </si>
  <si>
    <t>CABO DE COBRE FLEXÍVEL ISOLADO, 6 MM², ANTI-CHAMA 450/750 V, PARA CIRCUITOS TERMINAIS - FORNECIMENTO E INSTALAÇÃO. AF_12/2015</t>
  </si>
  <si>
    <t>92000</t>
  </si>
  <si>
    <t>TOMADA BAIXA DE EMBUTIR (1 MÓDULO), 2P+T 10 A, INCLUINDO SUPORTE E PLACA - FORNECIMENTO E INSTALAÇÃO. AF_12/2015</t>
  </si>
  <si>
    <t>1.8</t>
  </si>
  <si>
    <t>LIMPEZA</t>
  </si>
  <si>
    <t>1.8.1</t>
  </si>
  <si>
    <t>LIMPEZA GERAL DE OBRA</t>
  </si>
  <si>
    <t>ITEM</t>
  </si>
  <si>
    <t>FONTE</t>
  </si>
  <si>
    <t>DESCRIÇÃO</t>
  </si>
  <si>
    <t>UNID</t>
  </si>
  <si>
    <t>QUANT</t>
  </si>
  <si>
    <t>CUSTO UNITÁRIO (R$)</t>
  </si>
  <si>
    <t>UNITÁRIO COM BDI (R$)</t>
  </si>
  <si>
    <t>VALOR TOTAL COM BDI (R$)</t>
  </si>
  <si>
    <t>CODIGO</t>
  </si>
  <si>
    <t xml:space="preserve">BDI: </t>
  </si>
  <si>
    <t>CREA: 56.250/D</t>
  </si>
  <si>
    <t>INSTALAÇÃO HIDRO-SANITÁRIA</t>
  </si>
  <si>
    <t>CAIXA D´ÁGUA EM POLIETILENO, 1000 LITROS, COM ACESSÓRIOS</t>
  </si>
  <si>
    <t>88503</t>
  </si>
  <si>
    <t>TORNEIRA DE BOIA, ROSCÁVEL, 3/4 , FORNECIDA E INSTALADA EM RESERVAÇÃO DE ÁGUA. AF_06/2016</t>
  </si>
  <si>
    <t>94796</t>
  </si>
  <si>
    <t>ADAPTADOR PVC SOLDAVEL, COM FLANGE E ANEL DE VEDACAO, 20 MM X 1/2", PARA CAIXA D'AGUA</t>
  </si>
  <si>
    <t>95</t>
  </si>
  <si>
    <t>99</t>
  </si>
  <si>
    <t>ADAPTADOR PVC SOLDAVEL, COM FLANGE E ANEL DE VEDACAO, 50 MM X 1 1/2", PARA CAIXA D'AGUA</t>
  </si>
  <si>
    <t>1.2.8</t>
  </si>
  <si>
    <t>1.3.1</t>
  </si>
  <si>
    <t>1.3.3</t>
  </si>
  <si>
    <t>PLANILHA ORÇAMENTÁRIA</t>
  </si>
  <si>
    <t>LAJE PRÉ-MOLDADA UNIDIRECIONAL, BIAPOIADA, PARA PISO, ENCHIMENTO EM CERÂMICA, VIGOTA CONVENCIONAL, ALTURA TOTAL DA LAJE (ENCHIMENTO+CAPA) = (8+4). AF_11/2020</t>
  </si>
  <si>
    <t>101963</t>
  </si>
  <si>
    <t>PAVIMENTO TÉRREO</t>
  </si>
  <si>
    <t>101964</t>
  </si>
  <si>
    <t>LAJE PRÉ-MOLDADA UNIDIRECIONAL, BIAPOIADA, PARA FORRO, ENCHIMENTO EM CERÂMICA, VIGOTA CONVENCIONAL, ALTURA TOTAL DA LAJE (ENCHIMENTO+CAPA) = (8+3). AF_11/2020</t>
  </si>
  <si>
    <t>94443</t>
  </si>
  <si>
    <t>TELHAMENTO COM TELHA CERÂMICA DE ENCAIXE, TIPO ROMANA, COM MAIS DE 2 ÁGUAS, INCLUSO TRANSPORTE VERTICAL. AF_07/2019</t>
  </si>
  <si>
    <t>92540</t>
  </si>
  <si>
    <t>TRAMA DE MADEIRA COMPOSTA POR RIPAS, CAIBROS E TERÇAS PARA TELHADOS DE MAIS QUE 2 ÁGUAS PARA TELHA DE ENCAIXE DE CERÂMICA OU DE CONCRETO, INCLUSO TRANSPORTE VERTICAL. AF_07/2019</t>
  </si>
  <si>
    <t>88485</t>
  </si>
  <si>
    <t>APLICAÇÃO DE FUNDO SELADOR ACRÍLICO EM PAREDES, UMA DEMÃO. AF_06/2014</t>
  </si>
  <si>
    <t>PLACA DE OBRA (PARA CONSTRUCAO CIVIL) EM CHAPA GALVANIZADA *N. 22*, ADESIVADA</t>
  </si>
  <si>
    <t>4813</t>
  </si>
  <si>
    <t>90843</t>
  </si>
  <si>
    <t>101890</t>
  </si>
  <si>
    <t>DISJUNTOR MONOPOLAR TIPO NEMA, CORRENTE NOMINAL DE 10 ATÉ 30A - FORNECIMENTO E INSTALAÇÃO. AF_10/2020</t>
  </si>
  <si>
    <t>1.1.2</t>
  </si>
  <si>
    <t>LOUÇAS E METAIS</t>
  </si>
  <si>
    <t>86939</t>
  </si>
  <si>
    <t>1.6</t>
  </si>
  <si>
    <t>1.6.1</t>
  </si>
  <si>
    <t>95547</t>
  </si>
  <si>
    <t>1.6.3</t>
  </si>
  <si>
    <t>1.2.4</t>
  </si>
  <si>
    <t>1.2.6</t>
  </si>
  <si>
    <t>1.4.4</t>
  </si>
  <si>
    <t>94967</t>
  </si>
  <si>
    <t>87257</t>
  </si>
  <si>
    <t>REVESTIMENTO CERÂMICO PARA PISO COM PLACAS TIPO ESMALTADA EXTRA DE DIMENSÕES 60X60 CM APLICADA EM AMBIENTES DE ÁREA MAIOR QUE 10 M2. AF_06/2014</t>
  </si>
  <si>
    <t>92273</t>
  </si>
  <si>
    <t>FABRICAÇÃO DE ESCORAS DO TIPO PONTALETE, EM MADEIRA, PARA PÉ-DIREITO SIMPLES. AF_09/2020</t>
  </si>
  <si>
    <t>REVESTIMENTO CERÂMICO PARA PISO COM PLACAS TIPO ESMALTADA EXTRA DE DIMENSÕES 60X60 CM APLICADA EM AMBIENTES DE ÁREA ENTRE 5 M2 E 10 M2. AF_06/2014</t>
  </si>
  <si>
    <t xml:space="preserve"> M2     </t>
  </si>
  <si>
    <t>LAJE DE PISO</t>
  </si>
  <si>
    <t>94227</t>
  </si>
  <si>
    <t>CALHA EM CHAPA DE AÇO GALVANIZADO NÚMERO 24, DESENVOLVIMENTO DE 33 CM, INCLUSO TRANSPORTE VERTICAL. AF_07/2019</t>
  </si>
  <si>
    <t>CONCRETO FCK = 40MPA, TRAÇO 1:1,6:1,9 (CIMENTO/ AREIA MÉDIA/ BRITA 1)  - PREPARO MECÂNICO COM BETONEIRA 400 L. AF_07/2016</t>
  </si>
  <si>
    <t>102180</t>
  </si>
  <si>
    <t>INSTALAÇÃO DE VIDRO TEMPERADO, E = 8 MM, ENCAIXADO EM PERFIL U. AF_01/2021_P</t>
  </si>
  <si>
    <t>RODAPÉ CERÂMICO DE 7CM DE ALTURA COM PLACAS TIPO ESMALTADA EXTRA DE DIMENSÕES 60X60CM. AF_06/2014</t>
  </si>
  <si>
    <t>88650</t>
  </si>
  <si>
    <t>SUPERESTRUTURA</t>
  </si>
  <si>
    <t>ESQUADRIAS</t>
  </si>
  <si>
    <t>PISOS E AZULEJOS</t>
  </si>
  <si>
    <t>1.5.4</t>
  </si>
  <si>
    <t>87264</t>
  </si>
  <si>
    <t>REVESTIMENTO CERÂMICO PARA PAREDES INTERNAS COM PLACAS TIPO ESMALTADA EXTRA DE DIMENSÕES 20X20 CM APLICADAS EM AMBIENTES DE ÁREA MENOR QUE 5M² NA ALTURA INTEIRA DAS PAREDES. AF_06/2014</t>
  </si>
  <si>
    <t>97593</t>
  </si>
  <si>
    <t>LUMINÁRIA TIPO SPOT, DE SOBREPOR, COM 1 LÂMPADA FLUORESCENTE DE 15 W, SEM REATOR - FORNECIMENTO E INSTALAÇÃO. AF_02/2020</t>
  </si>
  <si>
    <t>91961</t>
  </si>
  <si>
    <t>INTERRUPTOR PARALELO (2 MÓDULOS), 10A/250V, INCLUINDO SUPORTE E PLACA - FORNECIMENTO E INSTALAÇÃO. AF_12/2015</t>
  </si>
  <si>
    <t>QUADRO DE DISTRIBUIÇÃO DE LUZ EM PVC DE EMBUTIR, ATÉ 8 DIVISÕES MODULARES, DIMENSÕES EXTERNAS 160 X 240 X 89 MM</t>
  </si>
  <si>
    <t>PRIMEIRO PAVIMENTO</t>
  </si>
  <si>
    <t>BANCADA EM GRANITO CINZA ANDORINHA E = 3 CM, APOIADA EM ALVENARIA</t>
  </si>
  <si>
    <t>SERVIÇOS COMPLEMENTARES</t>
  </si>
  <si>
    <t>86935</t>
  </si>
  <si>
    <t>CUBA DE EMBUTIR DE AÇO INOXIDÁVEL MÉDIA, INCLUSO VÁLVULA TIPO AMERICANA EM METAL CROMADO E SIFÃO FLEXÍVEL EM PVC - FORNECIMENTO E INSTALAÇÃO. AF_01/2020</t>
  </si>
  <si>
    <t>86884</t>
  </si>
  <si>
    <t>ENGATE FLEXÍVEL EM PLÁSTICO BRANCO, 1/2 X 30CM - FORNECIMENTO E INSTALAÇÃO. AF_01/2020</t>
  </si>
  <si>
    <t>86911</t>
  </si>
  <si>
    <t>TORNEIRA CROMADA LONGA, DE PAREDE, 1/2 OU 3/4, PARA PIA DE COZINHA, PADRÃO POPULAR - FORNECIMENTO E INSTALAÇÃO. AF_01/2020</t>
  </si>
  <si>
    <t>100327</t>
  </si>
  <si>
    <t>RUFO EXTERNO/INTERNO EM CHAPA DE AÇO GALVANIZADO NÚMERO 26, CORTE DE 33 CM, INCLUSO IÇAMENTO. AF_07/2019</t>
  </si>
  <si>
    <t>006</t>
  </si>
  <si>
    <t>1.2.10</t>
  </si>
  <si>
    <t>1.2.11</t>
  </si>
  <si>
    <t>1.2.12</t>
  </si>
  <si>
    <t>1.2.13</t>
  </si>
  <si>
    <t>1.8.2</t>
  </si>
  <si>
    <t>1.9</t>
  </si>
  <si>
    <t>1.9.1</t>
  </si>
  <si>
    <t>1.9.2</t>
  </si>
  <si>
    <t>1.9.3</t>
  </si>
  <si>
    <t>1.9.4</t>
  </si>
  <si>
    <t>1.9.5</t>
  </si>
  <si>
    <t>1.9.6</t>
  </si>
  <si>
    <t>1.9.7</t>
  </si>
  <si>
    <t>1.9.8</t>
  </si>
  <si>
    <t>2.1</t>
  </si>
  <si>
    <t>2.1.1</t>
  </si>
  <si>
    <t>2.1.2</t>
  </si>
  <si>
    <t>2.1.3</t>
  </si>
  <si>
    <t>2.1.4</t>
  </si>
  <si>
    <t>2.1.5</t>
  </si>
  <si>
    <t>2.1.6</t>
  </si>
  <si>
    <t>2.1.7</t>
  </si>
  <si>
    <t>2.2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</si>
  <si>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</si>
  <si>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</si>
  <si>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</si>
  <si>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</si>
  <si>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</si>
  <si>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</si>
  <si>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</si>
  <si>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</si>
  <si>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</si>
  <si>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2.3</t>
  </si>
  <si>
    <t>2.3.1</t>
  </si>
  <si>
    <t>2.3.2</t>
  </si>
  <si>
    <t>2.3.3</t>
  </si>
  <si>
    <t>2.3.4</t>
  </si>
  <si>
    <t>2.4</t>
  </si>
  <si>
    <t>2.4.1</t>
  </si>
  <si>
    <t>2.4.2</t>
  </si>
  <si>
    <t>2.4.3</t>
  </si>
  <si>
    <t>2.5</t>
  </si>
  <si>
    <t>2.5.1</t>
  </si>
  <si>
    <t>2.5.2</t>
  </si>
  <si>
    <t>2.5.3</t>
  </si>
  <si>
    <t>2.6</t>
  </si>
  <si>
    <t>2.6.1</t>
  </si>
  <si>
    <t>2.6.2</t>
  </si>
  <si>
    <t>2.6.3</t>
  </si>
  <si>
    <t>2.6.4</t>
  </si>
  <si>
    <t>2.6.5</t>
  </si>
  <si>
    <t>2.6.6</t>
  </si>
  <si>
    <t>2.7</t>
  </si>
  <si>
    <t>2.7.1</t>
  </si>
  <si>
    <t>2.7.2</t>
  </si>
  <si>
    <t>2.7.3</t>
  </si>
  <si>
    <t>2.7.4</t>
  </si>
  <si>
    <t>2.7.5</t>
  </si>
  <si>
    <t>2.8</t>
  </si>
  <si>
    <t>2.8.1</t>
  </si>
  <si>
    <t>2.8.2</t>
  </si>
  <si>
    <t>2.8.3</t>
  </si>
  <si>
    <t>2.8.4</t>
  </si>
  <si>
    <t>2.8.5</t>
  </si>
  <si>
    <t>2.9</t>
  </si>
  <si>
    <t>2.9.1</t>
  </si>
  <si>
    <t>99855</t>
  </si>
  <si>
    <t>CORRIMÃO SIMPLES, DIÂMETRO EXTERNO = 1 1/2", EM AÇO GALVANIZADO. AF_04/2019_P</t>
  </si>
  <si>
    <t>MUNICÍPIO: CONCEIÇÃO DOS OUROS/MG</t>
  </si>
  <si>
    <t>DATA BASE SINAPI: 05/2021 (DESONERADO)</t>
  </si>
  <si>
    <t>100899</t>
  </si>
  <si>
    <t>ESTACA ESCAVADA MECANICAMENTE, SEM FLUIDO ESTABILIZANTE, COM 25CM DE DIÂMETRO, CONCRETO LANÇADO MANUALMENTE (EXCLUSIVE MOBILIZAÇÃO E DESMOBILIZAÇÃO). AF_01/2020</t>
  </si>
  <si>
    <t>CONCRETO FCK = 40MPA, TRAÇO 1:1,6:1,9 (EM MASSA SECA DE CIMENTO/ AREIA MÉDIA/ BRITA 1)  - PREPARO MECÂNICO COM BETONEIRA 400 L. AF_05/2021</t>
  </si>
  <si>
    <t>88488</t>
  </si>
  <si>
    <t>88484</t>
  </si>
  <si>
    <t>APLICAÇÃO DE FUNDO SELADOR ACRÍLICO EM TETO, UMA DEMÃO. AF_06/2014</t>
  </si>
  <si>
    <t>APLICAÇÃO MANUAL DE PINTURA COM TINTA LÁTEX ACRÍLICA EM TETO, DUAS DEMÃOS. AF_06/2014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</si>
  <si>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</si>
  <si>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LAVATÓRIO LOUÇA BRANCA COM COLUNA, *44 X 35,5* CM, PADRÃO POPULAR, INCLUSO SIFÃO FLEXÍVEL EM PVC, VÁLVULA E ENGATE FLEXÍVEL 30CM EM PLÁSTICO E COM TORNEIRA CROMADA PADRÃO POPULAR - FORNECIMENTO E INSTALAÇÃO. AF_01/2020</t>
  </si>
  <si>
    <t>SABONETEIRA PLASTICA TIPO DISPENSER PARA SABONETE LIQUIDO COM RESERVATORIO 800 A 1500 ML, INCLUSO FIXAÇÃO. AF_01/2020</t>
  </si>
  <si>
    <t>91924</t>
  </si>
  <si>
    <t>CABO DE COBRE FLEXÍVEL ISOLADO, 1,5 MM², ANTI-CHAMA 450/750 V, PARA CIRCUITOS TERMINAIS - FORNECIMENTO E INSTALAÇÃO. AF_12/2015</t>
  </si>
  <si>
    <t>LOCAÇÃO DA OBRA (GABARITO)</t>
  </si>
  <si>
    <t>MOBILIZAÇÃO E DESMOBILIZAÇÃO DE EQUIPAMENTO PARA ESTACA</t>
  </si>
  <si>
    <t>PONTO DE EMBUTIR PARA ÁGUA FRIA, INCLUINDO TUBO DE PVC RÍGIDO SOLDÁVEL E CONEXÕES</t>
  </si>
  <si>
    <t>PONTO DE EMBUTIR PARA ESGOTO, INCLUINDO TUBO DE PVC RÍGIDO SOLDÁVEL DE 40 MM E CONEXÕES (LAVATÓRIOS, MICTÓRIOS, RALOS SIFONADOS, ETC.)</t>
  </si>
  <si>
    <t>PONTO DE EMBUTIR PARA ESGOTO, INCLUINDO TUBO DE PVC RÍGIDO SOLDÁVEL DE 50 MM E CONEXÕES (PIA, LAVANDERIA, ETC.)</t>
  </si>
  <si>
    <t>89355</t>
  </si>
  <si>
    <t>TUBO, PVC, SOLDÁVEL, DN 20MM, INSTALADO EM RAMAL OU SUB-RAMAL DE ÁGUA - FORNECIMENTO E INSTALAÇÃO. AF_12/2014</t>
  </si>
  <si>
    <t>TUBO, PVC, SOLDÁVEL, DN 25MM, INSTALADO EM RAMAL OU SUB-RAMAL DE ÁGUA - FORNECIMENTO E INSTALAÇÃO. AF_12/2015</t>
  </si>
  <si>
    <t>89356</t>
  </si>
  <si>
    <t>1.2.14</t>
  </si>
  <si>
    <t>2.7.6</t>
  </si>
  <si>
    <t>Vigas 20x40cm (aérea)</t>
  </si>
  <si>
    <t>PISO EM CONCRETO 20 MPA PREPARO MECÂNICO, ESPESSURA 7CM. AF_09/2020</t>
  </si>
  <si>
    <t>101747</t>
  </si>
  <si>
    <t>1.5.5</t>
  </si>
  <si>
    <t>OBRA: REFORMA E AMPLIAÇÃO DA ESCOLA MUNICIPAL MARIA DE FÁTIMA LOPES</t>
  </si>
  <si>
    <t>END.: RUA CASSIANO PINTO, Nº 30, BAIRRO CHÁCARA</t>
  </si>
  <si>
    <t>ENG. CIVIL: JOSÉ AIRTON JUNHO DOS REIS</t>
  </si>
  <si>
    <t>LUÍS FERNANDO ROSA DE CASTRO</t>
  </si>
  <si>
    <t>PREFEITO MUNICIPAL</t>
  </si>
  <si>
    <t>96122</t>
  </si>
  <si>
    <t>ACABAMENTOS PARA FORRO (RODA-FORRO EM MADEIRA PINUS). AF_05/2017</t>
  </si>
  <si>
    <t>2.2.10</t>
  </si>
  <si>
    <t>89578</t>
  </si>
  <si>
    <t>TUBO PVC, SÉRIE R, ÁGUA PLUVIAL, DN 100 MM, FORNECIDO E INSTALADO EM CONDUTORES VERTICAIS DE ÁGUAS PLUVIAIS. AF_12/2014</t>
  </si>
  <si>
    <t>94990</t>
  </si>
  <si>
    <t>EXECUÇÃO DE PASSEIO (CALÇADA) OU PISO DE CONCRETO COM CONCRETO MOLDADO IN LOCO, FEITO EM OBRA, ACABAMENTO CONVENCIONAL, NÃO ARMADO. AF_07/2016</t>
  </si>
  <si>
    <t>99837</t>
  </si>
  <si>
    <t>GUARDA-CORPO DE AÇO GALVANIZADO DE 1,10M, MONTANTES TUBULARES DE 1.1/4" ESPAÇADOS DE 1,20M, TRAVESSA SUPERIOR DE 1.1/2", GRADIL FORMADO POR TUBOS HORIZONTAIS DE 1" E VERTICAIS DE 3/4", FIXADO COM CHUMBADOR MECÂNICO. AF_04/2019_P</t>
  </si>
  <si>
    <t>PROJ-EXE-090</t>
  </si>
  <si>
    <t>PROJETO EXECUTIVO DE ESTRUTURA DE CONCRETO</t>
  </si>
  <si>
    <t>PR A1</t>
  </si>
  <si>
    <t>PROJETO EXECUTIVO DE INSTALAÇÕES HIDRO SANITÁRIAS</t>
  </si>
  <si>
    <t>PROJ-EXE-135</t>
  </si>
  <si>
    <t>PROJETO EXECUTIVO DE INSTALAÇÕES ELÉTRICAS</t>
  </si>
  <si>
    <t>PROJ-EXE-150</t>
  </si>
  <si>
    <t>PROJ-EXE-210</t>
  </si>
  <si>
    <t>PROJETO EXECUTIVO DE PREVENÇÃO E COMBATE A INCÊNDIO</t>
  </si>
  <si>
    <t>PROJ-EXE-015</t>
  </si>
  <si>
    <t>PROJETO EXECUTIVO DE ARQUITETURA</t>
  </si>
  <si>
    <t>PRAZO DE EXECUÇÃO: 06 MESES</t>
  </si>
  <si>
    <t>1.1.3</t>
  </si>
  <si>
    <t>1.1.4</t>
  </si>
  <si>
    <t>1.1.5</t>
  </si>
  <si>
    <t>1.1.6</t>
  </si>
  <si>
    <t>1.1.7</t>
  </si>
  <si>
    <t>2.8.6</t>
  </si>
  <si>
    <t>2.8.7</t>
  </si>
  <si>
    <t>LOC-OBR-005</t>
  </si>
  <si>
    <t>SETOP</t>
  </si>
  <si>
    <t>FUN-STR-005</t>
  </si>
  <si>
    <t>INST-AGU-005</t>
  </si>
  <si>
    <t>INST-ESG-005</t>
  </si>
  <si>
    <t>INST-ESG-010</t>
  </si>
  <si>
    <t>BAN-GRA-010</t>
  </si>
  <si>
    <t>LIM-GER-005</t>
  </si>
  <si>
    <t>90844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</si>
  <si>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</si>
  <si>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DATA: 05/07/2021</t>
  </si>
  <si>
    <r>
      <t xml:space="preserve">PROCESSO LICITATÓRIO Nº 117/2021 TOMADA DE PREÇOS Nº 008/2021 </t>
    </r>
    <r>
      <rPr>
        <b/>
        <sz val="12"/>
        <color theme="1"/>
        <rFont val="Calibri"/>
        <family val="2"/>
        <scheme val="minor"/>
      </rPr>
      <t>PREFEITURA MUNICIPAL DE CONCEIÇÃO DOS OUROS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Praça José Maria de Souza, 01 - Centro, CEP 37.548-000</t>
    </r>
  </si>
  <si>
    <t xml:space="preserve">
VALOR ESTIMADO: R$ 546.330,23 (quinhentos e quarenta e seis mil, trezentos e trinta reais e vinte e três centavos).
Prazo de Entrega: 180 (cento e oitenta) dias APÓS EMISSÃO DA ORDEM DE SERVIÇOS
Prazo de validade da proposta: 60 DIAS
Condição de Pagamento: ATÉ O 30º (TRIGÉSSIMO) DIA ÚTIL POSTERIOR À DATA DE APRESENTAÇÃO DA NOTA FISCAL E MEDIANTE A EXECUÇÃO DOS SERVIÇOS, EM CONSONÂNCIA COM O ACOMPANHAMENTO DOS SERVIÇOS EFETUADOS PELO DEPARTAMENTO COMPETENTE E O DEVIDO CERTIFICADO DE MEDIÇÃO, E DEPOIS DE ATESTADO PELO ÓRGÃO COMPETENTE O CUMPRIMENTO DAS OBRIGAÇÕES DEVIDAS.
Declaro que nos preços propostos encontram-se incluídos todos os tributos, salários, encargos sociais e fiscais, bem como quaisquer outros ônus que por ventura possam recair sobre a realizacao dos servicos do objeto da presente licitação e que estou de acordo com todas as normas e solicitações deste edital e seus anexos.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</si>
</sst>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8" formatCode="&quot;R$&quot;\ #,##0.00;[Red]\-&quot;R$&quot;\ #,##0.00"/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_(* #,##0.00_);_(* \(#,##0.00\);_(* &quot;-&quot;??_);_(@_)"/>
    <numFmt numFmtId="166" formatCode="General;General;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/>
    <xf numFmtId="0" fontId="0" fillId="0" borderId="0" xfId="0" applyBorder="1"/>
    <xf numFmtId="0" fontId="3" fillId="4" borderId="0" xfId="0" applyFont="1" applyFill="1" applyBorder="1" applyAlignment="1" applyProtection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Border="1"/>
    <xf numFmtId="43" fontId="3" fillId="0" borderId="0" xfId="8" applyFont="1" applyFill="1" applyBorder="1" applyAlignment="1">
      <alignment horizontal="right" vertical="center"/>
    </xf>
    <xf numFmtId="2" fontId="0" fillId="0" borderId="0" xfId="0" applyNumberFormat="1"/>
    <xf numFmtId="4" fontId="0" fillId="0" borderId="0" xfId="0" applyNumberFormat="1"/>
    <xf numFmtId="3" fontId="0" fillId="0" borderId="0" xfId="0" applyNumberFormat="1" applyBorder="1"/>
    <xf numFmtId="2" fontId="0" fillId="0" borderId="15" xfId="0" applyNumberFormat="1" applyBorder="1"/>
    <xf numFmtId="0" fontId="0" fillId="0" borderId="16" xfId="0" applyBorder="1"/>
    <xf numFmtId="2" fontId="0" fillId="4" borderId="0" xfId="0" applyNumberFormat="1" applyFill="1"/>
    <xf numFmtId="8" fontId="3" fillId="4" borderId="0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0" fillId="0" borderId="0" xfId="0" applyFont="1"/>
    <xf numFmtId="0" fontId="0" fillId="0" borderId="1" xfId="0" applyFont="1" applyBorder="1" applyAlignment="1">
      <alignment horizontal="right" vertical="center"/>
    </xf>
    <xf numFmtId="10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41" fontId="6" fillId="0" borderId="2" xfId="0" applyNumberFormat="1" applyFont="1" applyBorder="1" applyAlignment="1">
      <alignment horizontal="left" vertical="center"/>
    </xf>
    <xf numFmtId="164" fontId="7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43" fontId="6" fillId="0" borderId="9" xfId="0" applyNumberFormat="1" applyFont="1" applyBorder="1" applyAlignment="1">
      <alignment horizontal="right" vertical="center"/>
    </xf>
    <xf numFmtId="0" fontId="6" fillId="0" borderId="7" xfId="0" applyFont="1" applyFill="1" applyBorder="1" applyAlignment="1" applyProtection="1">
      <alignment horizontal="left" vertical="center"/>
    </xf>
    <xf numFmtId="166" fontId="6" fillId="0" borderId="6" xfId="0" applyNumberFormat="1" applyFont="1" applyFill="1" applyBorder="1" applyAlignment="1" applyProtection="1">
      <alignment horizontal="left" vertical="center" wrapText="1"/>
    </xf>
    <xf numFmtId="41" fontId="2" fillId="0" borderId="6" xfId="0" applyNumberFormat="1" applyFont="1" applyFill="1" applyBorder="1" applyAlignment="1" applyProtection="1">
      <alignment horizontal="center" vertical="center"/>
    </xf>
    <xf numFmtId="43" fontId="2" fillId="0" borderId="6" xfId="8" applyFont="1" applyFill="1" applyBorder="1" applyAlignment="1" applyProtection="1">
      <alignment horizontal="right" vertical="center"/>
    </xf>
    <xf numFmtId="43" fontId="2" fillId="0" borderId="4" xfId="8" applyFont="1" applyFill="1" applyBorder="1" applyAlignment="1" applyProtection="1">
      <alignment horizontal="right" vertical="center"/>
    </xf>
    <xf numFmtId="43" fontId="6" fillId="0" borderId="8" xfId="8" applyFont="1" applyBorder="1" applyAlignment="1">
      <alignment horizontal="right" vertical="center"/>
    </xf>
    <xf numFmtId="0" fontId="6" fillId="0" borderId="6" xfId="0" applyFont="1" applyFill="1" applyBorder="1" applyAlignment="1" applyProtection="1">
      <alignment horizontal="left" vertical="center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43" fontId="2" fillId="2" borderId="6" xfId="8" applyFont="1" applyFill="1" applyBorder="1" applyAlignment="1" applyProtection="1">
      <alignment horizontal="right" vertical="center" wrapText="1"/>
      <protection locked="0"/>
    </xf>
    <xf numFmtId="43" fontId="6" fillId="0" borderId="6" xfId="8" applyFont="1" applyBorder="1" applyAlignment="1">
      <alignment horizontal="right" vertical="center"/>
    </xf>
    <xf numFmtId="0" fontId="2" fillId="0" borderId="4" xfId="0" applyFont="1" applyFill="1" applyBorder="1" applyAlignment="1" applyProtection="1">
      <alignment horizontal="left" vertical="center"/>
    </xf>
    <xf numFmtId="2" fontId="2" fillId="0" borderId="6" xfId="0" applyNumberFormat="1" applyFont="1" applyFill="1" applyBorder="1" applyAlignment="1" applyProtection="1">
      <alignment horizontal="left" vertical="center" wrapText="1"/>
    </xf>
    <xf numFmtId="43" fontId="2" fillId="0" borderId="6" xfId="8" applyFont="1" applyBorder="1" applyAlignment="1">
      <alignment horizontal="right" vertical="center"/>
    </xf>
    <xf numFmtId="2" fontId="6" fillId="0" borderId="6" xfId="0" applyNumberFormat="1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left" vertical="center"/>
    </xf>
    <xf numFmtId="0" fontId="2" fillId="0" borderId="13" xfId="0" applyFont="1" applyFill="1" applyBorder="1" applyAlignment="1" applyProtection="1">
      <alignment horizontal="left" vertical="center"/>
    </xf>
    <xf numFmtId="43" fontId="2" fillId="0" borderId="5" xfId="8" applyFont="1" applyBorder="1" applyAlignment="1">
      <alignment horizontal="right" vertical="center"/>
    </xf>
    <xf numFmtId="0" fontId="0" fillId="0" borderId="0" xfId="0" applyFont="1" applyAlignment="1"/>
    <xf numFmtId="0" fontId="9" fillId="0" borderId="0" xfId="0" applyFont="1" applyFill="1" applyBorder="1"/>
    <xf numFmtId="49" fontId="2" fillId="4" borderId="12" xfId="0" applyNumberFormat="1" applyFont="1" applyFill="1" applyBorder="1" applyAlignment="1" applyProtection="1">
      <alignment horizontal="center" vertical="center" wrapText="1"/>
    </xf>
    <xf numFmtId="49" fontId="2" fillId="4" borderId="11" xfId="0" quotePrefix="1" applyNumberFormat="1" applyFont="1" applyFill="1" applyBorder="1" applyAlignment="1" applyProtection="1">
      <alignment horizontal="center" vertical="center" wrapText="1"/>
      <protection locked="0"/>
    </xf>
    <xf numFmtId="49" fontId="2" fillId="4" borderId="11" xfId="0" applyNumberFormat="1" applyFont="1" applyFill="1" applyBorder="1" applyAlignment="1" applyProtection="1">
      <alignment horizontal="center" vertical="center" wrapText="1"/>
      <protection locked="0"/>
    </xf>
    <xf numFmtId="49" fontId="8" fillId="4" borderId="11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5" xfId="0" applyFont="1" applyFill="1" applyBorder="1" applyAlignment="1" applyProtection="1">
      <alignment horizontal="center" vertical="center" wrapText="1"/>
    </xf>
    <xf numFmtId="43" fontId="2" fillId="4" borderId="6" xfId="8" applyFont="1" applyFill="1" applyBorder="1" applyAlignment="1" applyProtection="1">
      <alignment horizontal="right" vertical="center" wrapText="1"/>
    </xf>
    <xf numFmtId="43" fontId="2" fillId="4" borderId="6" xfId="8" applyFont="1" applyFill="1" applyBorder="1" applyAlignment="1" applyProtection="1">
      <alignment horizontal="right" vertical="center" wrapText="1"/>
      <protection locked="0"/>
    </xf>
    <xf numFmtId="0" fontId="0" fillId="0" borderId="15" xfId="0" applyBorder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</cellXfs>
  <cellStyles count="12">
    <cellStyle name="Moeda 2" xfId="1"/>
    <cellStyle name="Normal" xfId="0" builtinId="0"/>
    <cellStyle name="Normal 2" xfId="2"/>
    <cellStyle name="Normal 3" xfId="3"/>
    <cellStyle name="Porcentagem 2" xfId="5"/>
    <cellStyle name="Porcentagem 3" xfId="6"/>
    <cellStyle name="Porcentagem 3 2" xfId="7"/>
    <cellStyle name="Porcentagem 4" xfId="4"/>
    <cellStyle name="Separador de milhares 2" xfId="8"/>
    <cellStyle name="Vírgula 2" xfId="9"/>
    <cellStyle name="Vírgula 3" xfId="10"/>
    <cellStyle name="Vírgula 3 2" xfId="1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5"/>
  <sheetViews>
    <sheetView tabSelected="1" zoomScale="90" zoomScaleNormal="90" workbookViewId="0">
      <selection activeCell="E134" sqref="E134"/>
    </sheetView>
  </sheetViews>
  <sheetFormatPr defaultRowHeight="15" x14ac:dyDescent="0.25"/>
  <cols>
    <col min="1" max="1" width="6.5703125" customWidth="1"/>
    <col min="2" max="2" width="13.140625" customWidth="1"/>
    <col min="3" max="3" width="13.42578125" customWidth="1"/>
    <col min="4" max="4" width="50.85546875" customWidth="1"/>
    <col min="5" max="5" width="8.28515625" customWidth="1"/>
    <col min="6" max="6" width="11.42578125" customWidth="1"/>
    <col min="7" max="7" width="10.7109375" customWidth="1"/>
    <col min="8" max="8" width="12.28515625" customWidth="1"/>
    <col min="9" max="9" width="13" customWidth="1"/>
    <col min="11" max="11" width="12.5703125" customWidth="1"/>
    <col min="12" max="12" width="9.5703125" bestFit="1" customWidth="1"/>
  </cols>
  <sheetData>
    <row r="1" spans="1:13" s="5" customFormat="1" ht="51.75" customHeight="1" x14ac:dyDescent="0.25">
      <c r="A1" s="56" t="s">
        <v>301</v>
      </c>
      <c r="B1" s="57"/>
      <c r="C1" s="57"/>
      <c r="D1" s="57"/>
      <c r="E1" s="57"/>
      <c r="F1" s="57"/>
      <c r="G1" s="57"/>
      <c r="H1" s="57"/>
      <c r="I1" s="57"/>
    </row>
    <row r="2" spans="1:13" s="5" customFormat="1" x14ac:dyDescent="0.25">
      <c r="A2" s="61" t="s">
        <v>95</v>
      </c>
      <c r="B2" s="61"/>
      <c r="C2" s="61"/>
      <c r="D2" s="61"/>
      <c r="E2" s="61"/>
      <c r="F2" s="61"/>
      <c r="G2" s="61"/>
      <c r="H2" s="61"/>
      <c r="I2" s="61"/>
    </row>
    <row r="3" spans="1:13" s="5" customFormat="1" x14ac:dyDescent="0.25">
      <c r="A3" s="63" t="s">
        <v>228</v>
      </c>
      <c r="B3" s="64"/>
      <c r="C3" s="64"/>
      <c r="D3" s="64"/>
      <c r="E3" s="64"/>
      <c r="F3" s="64"/>
      <c r="G3" s="64"/>
      <c r="H3" s="64"/>
      <c r="I3" s="65"/>
    </row>
    <row r="4" spans="1:13" s="5" customFormat="1" x14ac:dyDescent="0.25">
      <c r="A4" s="62" t="s">
        <v>257</v>
      </c>
      <c r="B4" s="62"/>
      <c r="C4" s="62"/>
      <c r="D4" s="62"/>
      <c r="E4" s="62"/>
      <c r="F4" s="62"/>
      <c r="G4" s="62"/>
      <c r="H4" s="62"/>
      <c r="I4" s="62"/>
    </row>
    <row r="5" spans="1:13" s="5" customFormat="1" x14ac:dyDescent="0.25">
      <c r="A5" s="62" t="s">
        <v>258</v>
      </c>
      <c r="B5" s="62"/>
      <c r="C5" s="62"/>
      <c r="D5" s="62"/>
      <c r="E5" s="62"/>
      <c r="F5" s="62"/>
      <c r="G5" s="62"/>
      <c r="H5" s="62"/>
      <c r="I5" s="62"/>
    </row>
    <row r="6" spans="1:13" s="5" customFormat="1" x14ac:dyDescent="0.25">
      <c r="A6" s="58" t="s">
        <v>282</v>
      </c>
      <c r="B6" s="58"/>
      <c r="C6" s="58"/>
      <c r="D6" s="58"/>
      <c r="E6" s="58"/>
      <c r="F6" s="58"/>
      <c r="G6" s="58"/>
      <c r="H6" s="58"/>
      <c r="I6" s="59"/>
    </row>
    <row r="7" spans="1:13" s="5" customFormat="1" x14ac:dyDescent="0.25">
      <c r="A7" s="58" t="s">
        <v>229</v>
      </c>
      <c r="B7" s="58"/>
      <c r="C7" s="58"/>
      <c r="D7" s="58"/>
      <c r="E7" s="58"/>
      <c r="F7" s="58"/>
      <c r="G7" s="59"/>
      <c r="H7" s="17" t="s">
        <v>81</v>
      </c>
      <c r="I7" s="18">
        <v>0.2984</v>
      </c>
    </row>
    <row r="8" spans="1:13" s="1" customFormat="1" ht="45" x14ac:dyDescent="0.25">
      <c r="A8" s="19" t="s">
        <v>72</v>
      </c>
      <c r="B8" s="19" t="s">
        <v>73</v>
      </c>
      <c r="C8" s="19" t="s">
        <v>80</v>
      </c>
      <c r="D8" s="19" t="s">
        <v>74</v>
      </c>
      <c r="E8" s="19" t="s">
        <v>75</v>
      </c>
      <c r="F8" s="19" t="s">
        <v>76</v>
      </c>
      <c r="G8" s="20" t="s">
        <v>77</v>
      </c>
      <c r="H8" s="20" t="s">
        <v>78</v>
      </c>
      <c r="I8" s="20" t="s">
        <v>79</v>
      </c>
      <c r="K8" s="6"/>
      <c r="L8" s="6"/>
    </row>
    <row r="9" spans="1:13" ht="18" customHeight="1" x14ac:dyDescent="0.25">
      <c r="A9" s="21"/>
      <c r="B9" s="22"/>
      <c r="C9" s="22"/>
      <c r="D9" s="23" t="s">
        <v>0</v>
      </c>
      <c r="E9" s="24"/>
      <c r="F9" s="25"/>
      <c r="G9" s="26"/>
      <c r="H9" s="26"/>
      <c r="I9" s="27">
        <f>I10+I70</f>
        <v>546330.23119999992</v>
      </c>
      <c r="K9" s="9"/>
    </row>
    <row r="10" spans="1:13" x14ac:dyDescent="0.25">
      <c r="A10" s="28">
        <v>1</v>
      </c>
      <c r="B10" s="52"/>
      <c r="C10" s="47"/>
      <c r="D10" s="29" t="s">
        <v>98</v>
      </c>
      <c r="E10" s="30" t="s">
        <v>1</v>
      </c>
      <c r="F10" s="31">
        <v>0</v>
      </c>
      <c r="G10" s="53"/>
      <c r="H10" s="32">
        <v>0</v>
      </c>
      <c r="I10" s="33">
        <f>SUM(I11+I19+I34+I38+I43+I49+I53+I57+I60)</f>
        <v>315588.61359999992</v>
      </c>
      <c r="K10" s="10"/>
      <c r="L10" s="2"/>
      <c r="M10" s="2"/>
    </row>
    <row r="11" spans="1:13" x14ac:dyDescent="0.25">
      <c r="A11" s="34" t="s">
        <v>2</v>
      </c>
      <c r="B11" s="35"/>
      <c r="C11" s="48"/>
      <c r="D11" s="29" t="s">
        <v>4</v>
      </c>
      <c r="E11" s="30" t="s">
        <v>1</v>
      </c>
      <c r="F11" s="31">
        <v>0</v>
      </c>
      <c r="G11" s="36">
        <v>0</v>
      </c>
      <c r="H11" s="32">
        <v>0</v>
      </c>
      <c r="I11" s="37">
        <f>SUM(I12:I18)</f>
        <v>9866.2999999999993</v>
      </c>
      <c r="K11" s="2"/>
      <c r="L11" s="2"/>
      <c r="M11" s="2"/>
    </row>
    <row r="12" spans="1:13" ht="30" x14ac:dyDescent="0.25">
      <c r="A12" s="38" t="s">
        <v>5</v>
      </c>
      <c r="B12" s="35" t="s">
        <v>49</v>
      </c>
      <c r="C12" s="49" t="s">
        <v>108</v>
      </c>
      <c r="D12" s="39" t="s">
        <v>107</v>
      </c>
      <c r="E12" s="30" t="s">
        <v>6</v>
      </c>
      <c r="F12" s="31">
        <v>4.5</v>
      </c>
      <c r="G12" s="36">
        <v>335</v>
      </c>
      <c r="H12" s="32">
        <f>ROUND(G12+(G12*$I$7),2)</f>
        <v>434.96</v>
      </c>
      <c r="I12" s="40">
        <f>F12*H12</f>
        <v>1957.32</v>
      </c>
      <c r="J12" s="5">
        <f>3*1.5</f>
        <v>4.5</v>
      </c>
      <c r="K12" s="7"/>
      <c r="L12" s="7"/>
      <c r="M12" s="3"/>
    </row>
    <row r="13" spans="1:13" s="5" customFormat="1" ht="20.100000000000001" customHeight="1" x14ac:dyDescent="0.25">
      <c r="A13" s="38" t="s">
        <v>112</v>
      </c>
      <c r="B13" s="35" t="s">
        <v>291</v>
      </c>
      <c r="C13" s="49" t="s">
        <v>290</v>
      </c>
      <c r="D13" s="39" t="s">
        <v>242</v>
      </c>
      <c r="E13" s="30" t="s">
        <v>6</v>
      </c>
      <c r="F13" s="31">
        <v>146.69999999999999</v>
      </c>
      <c r="G13" s="36">
        <v>7.24</v>
      </c>
      <c r="H13" s="32">
        <f>ROUND(G13+(G13*$I$7),2)</f>
        <v>9.4</v>
      </c>
      <c r="I13" s="40">
        <f>F13*H13</f>
        <v>1378.98</v>
      </c>
      <c r="J13" s="5">
        <f>(18*8.15)</f>
        <v>146.70000000000002</v>
      </c>
      <c r="K13" s="7"/>
      <c r="L13" s="7"/>
      <c r="M13" s="3"/>
    </row>
    <row r="14" spans="1:13" s="5" customFormat="1" ht="20.100000000000001" customHeight="1" x14ac:dyDescent="0.25">
      <c r="A14" s="38" t="s">
        <v>283</v>
      </c>
      <c r="B14" s="35" t="s">
        <v>291</v>
      </c>
      <c r="C14" s="49" t="s">
        <v>280</v>
      </c>
      <c r="D14" s="39" t="s">
        <v>281</v>
      </c>
      <c r="E14" s="30" t="s">
        <v>273</v>
      </c>
      <c r="F14" s="31">
        <v>1</v>
      </c>
      <c r="G14" s="36">
        <v>1141.72</v>
      </c>
      <c r="H14" s="32">
        <f>ROUND(G14+(G14*$I$7),2)</f>
        <v>1482.41</v>
      </c>
      <c r="I14" s="40">
        <f>F14*H14</f>
        <v>1482.41</v>
      </c>
      <c r="K14" s="7"/>
      <c r="L14" s="7"/>
      <c r="M14" s="3"/>
    </row>
    <row r="15" spans="1:13" s="5" customFormat="1" ht="20.100000000000001" customHeight="1" x14ac:dyDescent="0.25">
      <c r="A15" s="38" t="s">
        <v>284</v>
      </c>
      <c r="B15" s="35" t="s">
        <v>291</v>
      </c>
      <c r="C15" s="49" t="s">
        <v>271</v>
      </c>
      <c r="D15" s="39" t="s">
        <v>272</v>
      </c>
      <c r="E15" s="30" t="s">
        <v>273</v>
      </c>
      <c r="F15" s="31">
        <v>1</v>
      </c>
      <c r="G15" s="36">
        <v>921.26</v>
      </c>
      <c r="H15" s="32">
        <f>ROUND(G15+(G15*$I$7),2)</f>
        <v>1196.1600000000001</v>
      </c>
      <c r="I15" s="40">
        <f>F15*H15</f>
        <v>1196.1600000000001</v>
      </c>
      <c r="K15" s="7"/>
      <c r="L15" s="7"/>
      <c r="M15" s="3"/>
    </row>
    <row r="16" spans="1:13" s="5" customFormat="1" ht="20.100000000000001" customHeight="1" x14ac:dyDescent="0.25">
      <c r="A16" s="38" t="s">
        <v>285</v>
      </c>
      <c r="B16" s="35" t="s">
        <v>291</v>
      </c>
      <c r="C16" s="49" t="s">
        <v>275</v>
      </c>
      <c r="D16" s="39" t="s">
        <v>274</v>
      </c>
      <c r="E16" s="30" t="s">
        <v>273</v>
      </c>
      <c r="F16" s="31">
        <v>1</v>
      </c>
      <c r="G16" s="36">
        <v>999.19</v>
      </c>
      <c r="H16" s="32">
        <f t="shared" ref="H16:H18" si="0">ROUND(G16+(G16*$I$7),2)</f>
        <v>1297.3499999999999</v>
      </c>
      <c r="I16" s="40">
        <f t="shared" ref="I16:I18" si="1">F16*H16</f>
        <v>1297.3499999999999</v>
      </c>
      <c r="K16" s="7"/>
      <c r="L16" s="7"/>
      <c r="M16" s="3"/>
    </row>
    <row r="17" spans="1:13" s="5" customFormat="1" ht="20.100000000000001" customHeight="1" x14ac:dyDescent="0.25">
      <c r="A17" s="38" t="s">
        <v>286</v>
      </c>
      <c r="B17" s="35" t="s">
        <v>291</v>
      </c>
      <c r="C17" s="49" t="s">
        <v>277</v>
      </c>
      <c r="D17" s="39" t="s">
        <v>276</v>
      </c>
      <c r="E17" s="30" t="s">
        <v>273</v>
      </c>
      <c r="F17" s="31">
        <v>1</v>
      </c>
      <c r="G17" s="36">
        <v>1076.9100000000001</v>
      </c>
      <c r="H17" s="32">
        <f t="shared" si="0"/>
        <v>1398.26</v>
      </c>
      <c r="I17" s="40">
        <f t="shared" si="1"/>
        <v>1398.26</v>
      </c>
      <c r="K17" s="7"/>
      <c r="L17" s="7"/>
      <c r="M17" s="3"/>
    </row>
    <row r="18" spans="1:13" s="5" customFormat="1" ht="30" x14ac:dyDescent="0.25">
      <c r="A18" s="38" t="s">
        <v>287</v>
      </c>
      <c r="B18" s="35" t="s">
        <v>291</v>
      </c>
      <c r="C18" s="49" t="s">
        <v>278</v>
      </c>
      <c r="D18" s="39" t="s">
        <v>279</v>
      </c>
      <c r="E18" s="30" t="s">
        <v>273</v>
      </c>
      <c r="F18" s="31">
        <v>1</v>
      </c>
      <c r="G18" s="36">
        <v>890.19</v>
      </c>
      <c r="H18" s="32">
        <f t="shared" si="0"/>
        <v>1155.82</v>
      </c>
      <c r="I18" s="40">
        <f t="shared" si="1"/>
        <v>1155.82</v>
      </c>
      <c r="K18" s="7"/>
      <c r="L18" s="7"/>
      <c r="M18" s="3"/>
    </row>
    <row r="19" spans="1:13" x14ac:dyDescent="0.25">
      <c r="A19" s="34" t="s">
        <v>7</v>
      </c>
      <c r="B19" s="35"/>
      <c r="C19" s="49"/>
      <c r="D19" s="41" t="s">
        <v>8</v>
      </c>
      <c r="E19" s="30" t="s">
        <v>1</v>
      </c>
      <c r="F19" s="31">
        <v>0</v>
      </c>
      <c r="G19" s="36"/>
      <c r="H19" s="32"/>
      <c r="I19" s="37">
        <f>SUM(I20:I33)</f>
        <v>206582.21499999997</v>
      </c>
      <c r="K19" s="2"/>
      <c r="L19" s="2"/>
      <c r="M19" s="2"/>
    </row>
    <row r="20" spans="1:13" ht="34.5" customHeight="1" x14ac:dyDescent="0.25">
      <c r="A20" s="42" t="s">
        <v>9</v>
      </c>
      <c r="B20" s="35" t="s">
        <v>3</v>
      </c>
      <c r="C20" s="49" t="s">
        <v>10</v>
      </c>
      <c r="D20" s="39" t="s">
        <v>11</v>
      </c>
      <c r="E20" s="30" t="s">
        <v>12</v>
      </c>
      <c r="F20" s="31">
        <v>33.33</v>
      </c>
      <c r="G20" s="36">
        <v>55.81</v>
      </c>
      <c r="H20" s="32">
        <f t="shared" ref="H20:H102" si="2">ROUND(G20+(G20*$I$7),2)</f>
        <v>72.459999999999994</v>
      </c>
      <c r="I20" s="40">
        <f>F20*H20</f>
        <v>2415.0917999999997</v>
      </c>
      <c r="J20" s="8">
        <f>(111.05*0.3*0.4)+(1*1*0.8*25)</f>
        <v>33.326000000000001</v>
      </c>
      <c r="K20" s="2"/>
      <c r="L20" s="2"/>
      <c r="M20" s="2"/>
    </row>
    <row r="21" spans="1:13" s="5" customFormat="1" ht="60" x14ac:dyDescent="0.25">
      <c r="A21" s="42" t="s">
        <v>13</v>
      </c>
      <c r="B21" s="35" t="s">
        <v>3</v>
      </c>
      <c r="C21" s="50" t="s">
        <v>230</v>
      </c>
      <c r="D21" s="39" t="s">
        <v>231</v>
      </c>
      <c r="E21" s="30" t="s">
        <v>14</v>
      </c>
      <c r="F21" s="31">
        <v>500</v>
      </c>
      <c r="G21" s="36">
        <v>60.7</v>
      </c>
      <c r="H21" s="32">
        <f t="shared" ref="H21" si="3">ROUND(G21+(G21*$I$7),2)</f>
        <v>78.81</v>
      </c>
      <c r="I21" s="40">
        <f t="shared" ref="I21" si="4">F21*H21</f>
        <v>39405</v>
      </c>
      <c r="J21" s="5">
        <f>(25*2)*10</f>
        <v>500</v>
      </c>
      <c r="K21" s="4"/>
      <c r="L21" s="6"/>
      <c r="M21" s="6"/>
    </row>
    <row r="22" spans="1:13" s="5" customFormat="1" ht="30" x14ac:dyDescent="0.25">
      <c r="A22" s="42" t="s">
        <v>15</v>
      </c>
      <c r="B22" s="35" t="s">
        <v>291</v>
      </c>
      <c r="C22" s="50" t="s">
        <v>292</v>
      </c>
      <c r="D22" s="39" t="s">
        <v>243</v>
      </c>
      <c r="E22" s="30" t="s">
        <v>75</v>
      </c>
      <c r="F22" s="31">
        <v>1</v>
      </c>
      <c r="G22" s="36">
        <v>5000</v>
      </c>
      <c r="H22" s="32">
        <f t="shared" ref="H22" si="5">ROUND(G22+(G22*$I$7),2)</f>
        <v>6492</v>
      </c>
      <c r="I22" s="40">
        <f t="shared" ref="I22" si="6">F22*H22</f>
        <v>6492</v>
      </c>
      <c r="J22" s="5">
        <v>1</v>
      </c>
      <c r="K22" s="14"/>
      <c r="L22" s="6"/>
      <c r="M22" s="6"/>
    </row>
    <row r="23" spans="1:13" ht="45" x14ac:dyDescent="0.25">
      <c r="A23" s="42" t="s">
        <v>119</v>
      </c>
      <c r="B23" s="35" t="s">
        <v>3</v>
      </c>
      <c r="C23" s="49" t="s">
        <v>16</v>
      </c>
      <c r="D23" s="39" t="s">
        <v>17</v>
      </c>
      <c r="E23" s="30" t="s">
        <v>6</v>
      </c>
      <c r="F23" s="31">
        <v>153.84</v>
      </c>
      <c r="G23" s="36">
        <v>83.11</v>
      </c>
      <c r="H23" s="32">
        <f t="shared" si="2"/>
        <v>107.91</v>
      </c>
      <c r="I23" s="40">
        <f>(F23*H23)</f>
        <v>16600.874400000001</v>
      </c>
      <c r="J23" s="8">
        <f>(((111.05*2)*0.4)+((5*1*3)+(20*0.5*3)+(1*1*0.8)*25))</f>
        <v>153.84</v>
      </c>
      <c r="K23" s="4"/>
      <c r="L23" s="2"/>
      <c r="M23" s="2"/>
    </row>
    <row r="24" spans="1:13" ht="60" x14ac:dyDescent="0.25">
      <c r="A24" s="42" t="s">
        <v>18</v>
      </c>
      <c r="B24" s="35" t="s">
        <v>3</v>
      </c>
      <c r="C24" s="49" t="s">
        <v>19</v>
      </c>
      <c r="D24" s="39" t="s">
        <v>20</v>
      </c>
      <c r="E24" s="30" t="s">
        <v>21</v>
      </c>
      <c r="F24" s="31">
        <v>3203</v>
      </c>
      <c r="G24" s="36">
        <v>15.19</v>
      </c>
      <c r="H24" s="32">
        <f t="shared" si="2"/>
        <v>19.72</v>
      </c>
      <c r="I24" s="40">
        <f t="shared" ref="I24:I33" si="7">F24*H24</f>
        <v>63163.159999999996</v>
      </c>
      <c r="J24" s="8">
        <f>(32.03*100)</f>
        <v>3203</v>
      </c>
    </row>
    <row r="25" spans="1:13" ht="45" x14ac:dyDescent="0.25">
      <c r="A25" s="42" t="s">
        <v>120</v>
      </c>
      <c r="B25" s="35" t="s">
        <v>3</v>
      </c>
      <c r="C25" s="49" t="s">
        <v>122</v>
      </c>
      <c r="D25" s="39" t="s">
        <v>232</v>
      </c>
      <c r="E25" s="30" t="s">
        <v>12</v>
      </c>
      <c r="F25" s="31">
        <v>32.03</v>
      </c>
      <c r="G25" s="36">
        <v>443.84</v>
      </c>
      <c r="H25" s="32">
        <f t="shared" si="2"/>
        <v>576.28</v>
      </c>
      <c r="I25" s="40">
        <f t="shared" si="7"/>
        <v>18458.2484</v>
      </c>
      <c r="J25" s="8">
        <f>((111.05*0.4*0.2)+(5*3*0.2*0.3)+(20*3*0.15*0.25)+(25*1*1*0.8))</f>
        <v>32.033999999999999</v>
      </c>
    </row>
    <row r="26" spans="1:13" ht="75" x14ac:dyDescent="0.25">
      <c r="A26" s="42" t="s">
        <v>22</v>
      </c>
      <c r="B26" s="35" t="s">
        <v>3</v>
      </c>
      <c r="C26" s="49" t="s">
        <v>24</v>
      </c>
      <c r="D26" s="39" t="s">
        <v>25</v>
      </c>
      <c r="E26" s="30" t="s">
        <v>6</v>
      </c>
      <c r="F26" s="31">
        <v>115.5</v>
      </c>
      <c r="G26" s="36">
        <v>67.38</v>
      </c>
      <c r="H26" s="32">
        <f t="shared" si="2"/>
        <v>87.49</v>
      </c>
      <c r="I26" s="40">
        <f t="shared" si="7"/>
        <v>10105.094999999999</v>
      </c>
      <c r="J26" s="8">
        <f>(18+8.15+6.05+6.3)*3</f>
        <v>115.49999999999997</v>
      </c>
    </row>
    <row r="27" spans="1:13" ht="30" x14ac:dyDescent="0.25">
      <c r="A27" s="42" t="s">
        <v>92</v>
      </c>
      <c r="B27" s="35" t="s">
        <v>3</v>
      </c>
      <c r="C27" s="49" t="s">
        <v>26</v>
      </c>
      <c r="D27" s="39" t="s">
        <v>27</v>
      </c>
      <c r="E27" s="30" t="s">
        <v>14</v>
      </c>
      <c r="F27" s="31">
        <v>77</v>
      </c>
      <c r="G27" s="36">
        <v>74.489999999999995</v>
      </c>
      <c r="H27" s="32">
        <f t="shared" si="2"/>
        <v>96.72</v>
      </c>
      <c r="I27" s="40">
        <f t="shared" si="7"/>
        <v>7447.44</v>
      </c>
      <c r="J27" s="11">
        <f>(38.5)*2</f>
        <v>77</v>
      </c>
      <c r="K27" s="12"/>
      <c r="L27" s="12"/>
    </row>
    <row r="28" spans="1:13" s="5" customFormat="1" ht="45" x14ac:dyDescent="0.25">
      <c r="A28" s="42" t="s">
        <v>23</v>
      </c>
      <c r="B28" s="35" t="s">
        <v>3</v>
      </c>
      <c r="C28" s="49" t="s">
        <v>16</v>
      </c>
      <c r="D28" s="39" t="s">
        <v>17</v>
      </c>
      <c r="E28" s="30" t="s">
        <v>6</v>
      </c>
      <c r="F28" s="31">
        <v>86.6</v>
      </c>
      <c r="G28" s="36">
        <v>83.11</v>
      </c>
      <c r="H28" s="32">
        <f t="shared" ref="H28:H31" si="8">ROUND(G28+(G28*$I$7),2)</f>
        <v>107.91</v>
      </c>
      <c r="I28" s="40">
        <f>(F28*H28)</f>
        <v>9345.0059999999994</v>
      </c>
      <c r="J28" s="8">
        <f>((18*3)+(8.15*4))*1</f>
        <v>86.6</v>
      </c>
      <c r="K28" s="4"/>
      <c r="L28" s="6" t="s">
        <v>253</v>
      </c>
      <c r="M28" s="6"/>
    </row>
    <row r="29" spans="1:13" s="5" customFormat="1" ht="60" x14ac:dyDescent="0.25">
      <c r="A29" s="42" t="s">
        <v>160</v>
      </c>
      <c r="B29" s="35" t="s">
        <v>3</v>
      </c>
      <c r="C29" s="49" t="s">
        <v>19</v>
      </c>
      <c r="D29" s="39" t="s">
        <v>20</v>
      </c>
      <c r="E29" s="30" t="s">
        <v>21</v>
      </c>
      <c r="F29" s="31">
        <v>693</v>
      </c>
      <c r="G29" s="36">
        <v>15.19</v>
      </c>
      <c r="H29" s="32">
        <f t="shared" si="8"/>
        <v>19.72</v>
      </c>
      <c r="I29" s="40">
        <f t="shared" ref="I29:I31" si="9">F29*H29</f>
        <v>13665.96</v>
      </c>
      <c r="J29" s="8">
        <f>(6.93*100)</f>
        <v>693</v>
      </c>
    </row>
    <row r="30" spans="1:13" s="5" customFormat="1" ht="45" x14ac:dyDescent="0.25">
      <c r="A30" s="42" t="s">
        <v>161</v>
      </c>
      <c r="B30" s="35" t="s">
        <v>3</v>
      </c>
      <c r="C30" s="49" t="s">
        <v>122</v>
      </c>
      <c r="D30" s="39" t="s">
        <v>232</v>
      </c>
      <c r="E30" s="30" t="s">
        <v>12</v>
      </c>
      <c r="F30" s="31">
        <v>6.93</v>
      </c>
      <c r="G30" s="36">
        <v>443.84</v>
      </c>
      <c r="H30" s="32">
        <f t="shared" si="8"/>
        <v>576.28</v>
      </c>
      <c r="I30" s="40">
        <f t="shared" si="9"/>
        <v>3993.6203999999998</v>
      </c>
      <c r="J30" s="8">
        <f>(86.6*0.4*0.2)</f>
        <v>6.9280000000000008</v>
      </c>
    </row>
    <row r="31" spans="1:13" s="5" customFormat="1" ht="30" x14ac:dyDescent="0.25">
      <c r="A31" s="42" t="s">
        <v>162</v>
      </c>
      <c r="B31" s="35" t="s">
        <v>3</v>
      </c>
      <c r="C31" s="49" t="s">
        <v>125</v>
      </c>
      <c r="D31" s="39" t="s">
        <v>126</v>
      </c>
      <c r="E31" s="30" t="s">
        <v>14</v>
      </c>
      <c r="F31" s="31">
        <v>440.1</v>
      </c>
      <c r="G31" s="36">
        <v>11.62</v>
      </c>
      <c r="H31" s="32">
        <f t="shared" si="8"/>
        <v>15.09</v>
      </c>
      <c r="I31" s="40">
        <f t="shared" si="9"/>
        <v>6641.1090000000004</v>
      </c>
      <c r="J31" s="8">
        <f>(146.7*1*3)</f>
        <v>440.09999999999997</v>
      </c>
    </row>
    <row r="32" spans="1:13" ht="60" x14ac:dyDescent="0.25">
      <c r="A32" s="42" t="s">
        <v>163</v>
      </c>
      <c r="B32" s="35" t="s">
        <v>3</v>
      </c>
      <c r="C32" s="49" t="s">
        <v>28</v>
      </c>
      <c r="D32" s="39" t="s">
        <v>29</v>
      </c>
      <c r="E32" s="30" t="s">
        <v>6</v>
      </c>
      <c r="F32" s="31">
        <v>231</v>
      </c>
      <c r="G32" s="36">
        <v>3.09</v>
      </c>
      <c r="H32" s="32">
        <f t="shared" si="2"/>
        <v>4.01</v>
      </c>
      <c r="I32" s="40">
        <f t="shared" si="7"/>
        <v>926.31</v>
      </c>
      <c r="J32" s="5">
        <f>(115.5*2)</f>
        <v>231</v>
      </c>
    </row>
    <row r="33" spans="1:12" ht="75" x14ac:dyDescent="0.25">
      <c r="A33" s="42" t="s">
        <v>251</v>
      </c>
      <c r="B33" s="35" t="s">
        <v>3</v>
      </c>
      <c r="C33" s="49" t="s">
        <v>30</v>
      </c>
      <c r="D33" s="39" t="s">
        <v>31</v>
      </c>
      <c r="E33" s="30" t="s">
        <v>6</v>
      </c>
      <c r="F33" s="31">
        <v>231</v>
      </c>
      <c r="G33" s="36">
        <v>26.42</v>
      </c>
      <c r="H33" s="32">
        <f t="shared" si="2"/>
        <v>34.299999999999997</v>
      </c>
      <c r="I33" s="40">
        <f t="shared" si="7"/>
        <v>7923.2999999999993</v>
      </c>
      <c r="J33" s="55">
        <f>(115.5*2)</f>
        <v>231</v>
      </c>
      <c r="K33" s="12"/>
      <c r="L33" s="12"/>
    </row>
    <row r="34" spans="1:12" x14ac:dyDescent="0.25">
      <c r="A34" s="34" t="s">
        <v>33</v>
      </c>
      <c r="B34" s="35"/>
      <c r="C34" s="49"/>
      <c r="D34" s="41" t="s">
        <v>129</v>
      </c>
      <c r="E34" s="30" t="s">
        <v>1</v>
      </c>
      <c r="F34" s="31">
        <v>0</v>
      </c>
      <c r="G34" s="36"/>
      <c r="H34" s="32"/>
      <c r="I34" s="37">
        <f>SUM(I35:I37)</f>
        <v>42943.490999999995</v>
      </c>
    </row>
    <row r="35" spans="1:12" s="5" customFormat="1" ht="67.5" customHeight="1" x14ac:dyDescent="0.25">
      <c r="A35" s="42" t="s">
        <v>93</v>
      </c>
      <c r="B35" s="35" t="s">
        <v>3</v>
      </c>
      <c r="C35" s="49" t="s">
        <v>97</v>
      </c>
      <c r="D35" s="39" t="s">
        <v>96</v>
      </c>
      <c r="E35" s="30" t="s">
        <v>6</v>
      </c>
      <c r="F35" s="31">
        <v>146.69999999999999</v>
      </c>
      <c r="G35" s="36">
        <v>195.95</v>
      </c>
      <c r="H35" s="32">
        <f t="shared" ref="H35:H37" si="10">ROUND(G35+(G35*$I$7),2)</f>
        <v>254.42</v>
      </c>
      <c r="I35" s="40">
        <f t="shared" ref="I35:I37" si="11">F35*H35</f>
        <v>37323.413999999997</v>
      </c>
      <c r="J35" s="8">
        <f>(18*8.15)</f>
        <v>146.70000000000002</v>
      </c>
    </row>
    <row r="36" spans="1:12" s="5" customFormat="1" ht="64.5" customHeight="1" x14ac:dyDescent="0.25">
      <c r="A36" s="42" t="s">
        <v>35</v>
      </c>
      <c r="B36" s="35" t="s">
        <v>3</v>
      </c>
      <c r="C36" s="49" t="s">
        <v>28</v>
      </c>
      <c r="D36" s="39" t="s">
        <v>29</v>
      </c>
      <c r="E36" s="30" t="s">
        <v>6</v>
      </c>
      <c r="F36" s="31">
        <v>146.69999999999999</v>
      </c>
      <c r="G36" s="36">
        <v>3.09</v>
      </c>
      <c r="H36" s="32">
        <f t="shared" si="10"/>
        <v>4.01</v>
      </c>
      <c r="I36" s="40">
        <f t="shared" si="11"/>
        <v>588.26699999999994</v>
      </c>
      <c r="J36" s="8">
        <f>(18*8.15)</f>
        <v>146.70000000000002</v>
      </c>
    </row>
    <row r="37" spans="1:12" s="5" customFormat="1" ht="79.5" customHeight="1" x14ac:dyDescent="0.25">
      <c r="A37" s="42" t="s">
        <v>94</v>
      </c>
      <c r="B37" s="35" t="s">
        <v>3</v>
      </c>
      <c r="C37" s="49" t="s">
        <v>30</v>
      </c>
      <c r="D37" s="39" t="s">
        <v>31</v>
      </c>
      <c r="E37" s="30" t="s">
        <v>6</v>
      </c>
      <c r="F37" s="31">
        <v>146.69999999999999</v>
      </c>
      <c r="G37" s="36">
        <v>26.42</v>
      </c>
      <c r="H37" s="32">
        <f t="shared" si="10"/>
        <v>34.299999999999997</v>
      </c>
      <c r="I37" s="40">
        <f t="shared" si="11"/>
        <v>5031.8099999999995</v>
      </c>
      <c r="J37" s="8">
        <f>(18*8.15)</f>
        <v>146.70000000000002</v>
      </c>
    </row>
    <row r="38" spans="1:12" s="5" customFormat="1" x14ac:dyDescent="0.25">
      <c r="A38" s="34" t="s">
        <v>36</v>
      </c>
      <c r="B38" s="35"/>
      <c r="C38" s="49"/>
      <c r="D38" s="41" t="s">
        <v>52</v>
      </c>
      <c r="E38" s="30"/>
      <c r="F38" s="31">
        <v>0</v>
      </c>
      <c r="G38" s="36"/>
      <c r="H38" s="32"/>
      <c r="I38" s="37">
        <f>SUM(I39:I42)</f>
        <v>6944.85</v>
      </c>
      <c r="J38" s="8"/>
    </row>
    <row r="39" spans="1:12" s="5" customFormat="1" ht="30" x14ac:dyDescent="0.25">
      <c r="A39" s="42" t="s">
        <v>38</v>
      </c>
      <c r="B39" s="35" t="s">
        <v>3</v>
      </c>
      <c r="C39" s="49" t="s">
        <v>105</v>
      </c>
      <c r="D39" s="39" t="s">
        <v>106</v>
      </c>
      <c r="E39" s="30" t="s">
        <v>6</v>
      </c>
      <c r="F39" s="31">
        <v>231</v>
      </c>
      <c r="G39" s="36">
        <v>2.3199999999999998</v>
      </c>
      <c r="H39" s="32">
        <f t="shared" ref="H39:H40" si="12">ROUND(G39+(G39*$I$7),2)</f>
        <v>3.01</v>
      </c>
      <c r="I39" s="40">
        <f t="shared" ref="I39:I40" si="13">F39*H39</f>
        <v>695.31</v>
      </c>
      <c r="J39" s="8">
        <f>(115.5*2)</f>
        <v>231</v>
      </c>
    </row>
    <row r="40" spans="1:12" s="5" customFormat="1" ht="30" x14ac:dyDescent="0.25">
      <c r="A40" s="42" t="s">
        <v>41</v>
      </c>
      <c r="B40" s="35" t="s">
        <v>3</v>
      </c>
      <c r="C40" s="49" t="s">
        <v>54</v>
      </c>
      <c r="D40" s="39" t="s">
        <v>55</v>
      </c>
      <c r="E40" s="30" t="s">
        <v>6</v>
      </c>
      <c r="F40" s="31">
        <v>231</v>
      </c>
      <c r="G40" s="36">
        <v>11.15</v>
      </c>
      <c r="H40" s="32">
        <f t="shared" si="12"/>
        <v>14.48</v>
      </c>
      <c r="I40" s="40">
        <f t="shared" si="13"/>
        <v>3344.88</v>
      </c>
      <c r="J40" s="8">
        <f>(115.5*2)</f>
        <v>231</v>
      </c>
    </row>
    <row r="41" spans="1:12" s="5" customFormat="1" ht="30" x14ac:dyDescent="0.25">
      <c r="A41" s="42" t="s">
        <v>43</v>
      </c>
      <c r="B41" s="35" t="s">
        <v>3</v>
      </c>
      <c r="C41" s="49" t="s">
        <v>234</v>
      </c>
      <c r="D41" s="39" t="s">
        <v>235</v>
      </c>
      <c r="E41" s="30" t="s">
        <v>6</v>
      </c>
      <c r="F41" s="31">
        <v>146.69999999999999</v>
      </c>
      <c r="G41" s="36">
        <v>2.64</v>
      </c>
      <c r="H41" s="32">
        <f t="shared" ref="H41:H42" si="14">ROUND(G41+(G41*$I$7),2)</f>
        <v>3.43</v>
      </c>
      <c r="I41" s="40">
        <f t="shared" ref="I41:I42" si="15">F41*H41</f>
        <v>503.18099999999998</v>
      </c>
      <c r="J41" s="8">
        <f>(18*8.15)</f>
        <v>146.70000000000002</v>
      </c>
    </row>
    <row r="42" spans="1:12" s="5" customFormat="1" ht="30" x14ac:dyDescent="0.25">
      <c r="A42" s="42" t="s">
        <v>121</v>
      </c>
      <c r="B42" s="35" t="s">
        <v>3</v>
      </c>
      <c r="C42" s="49" t="s">
        <v>233</v>
      </c>
      <c r="D42" s="39" t="s">
        <v>236</v>
      </c>
      <c r="E42" s="30" t="s">
        <v>6</v>
      </c>
      <c r="F42" s="31">
        <v>146.69999999999999</v>
      </c>
      <c r="G42" s="36">
        <v>12.61</v>
      </c>
      <c r="H42" s="32">
        <f t="shared" si="14"/>
        <v>16.37</v>
      </c>
      <c r="I42" s="40">
        <f t="shared" si="15"/>
        <v>2401.4789999999998</v>
      </c>
      <c r="J42" s="8">
        <f>(18*8.15)</f>
        <v>146.70000000000002</v>
      </c>
    </row>
    <row r="43" spans="1:12" x14ac:dyDescent="0.25">
      <c r="A43" s="34" t="s">
        <v>44</v>
      </c>
      <c r="B43" s="35"/>
      <c r="C43" s="49"/>
      <c r="D43" s="41" t="s">
        <v>139</v>
      </c>
      <c r="E43" s="30"/>
      <c r="F43" s="31">
        <v>0</v>
      </c>
      <c r="G43" s="36"/>
      <c r="H43" s="32"/>
      <c r="I43" s="37">
        <f>SUM(I44:I48)</f>
        <v>34874.591999999997</v>
      </c>
      <c r="J43" s="8"/>
    </row>
    <row r="44" spans="1:12" s="5" customFormat="1" ht="37.5" customHeight="1" x14ac:dyDescent="0.25">
      <c r="A44" s="42" t="s">
        <v>45</v>
      </c>
      <c r="B44" s="35" t="s">
        <v>3</v>
      </c>
      <c r="C44" s="49" t="s">
        <v>255</v>
      </c>
      <c r="D44" s="39" t="s">
        <v>254</v>
      </c>
      <c r="E44" s="30" t="s">
        <v>6</v>
      </c>
      <c r="F44" s="31">
        <v>146.69999999999999</v>
      </c>
      <c r="G44" s="36">
        <v>48</v>
      </c>
      <c r="H44" s="32">
        <f t="shared" ref="H44" si="16">ROUND(G44+(G44*$I$7),2)</f>
        <v>62.32</v>
      </c>
      <c r="I44" s="40">
        <f>F44*H44</f>
        <v>9142.3439999999991</v>
      </c>
      <c r="J44" s="8">
        <f t="shared" ref="J44" si="17">(18*8.15)</f>
        <v>146.70000000000002</v>
      </c>
    </row>
    <row r="45" spans="1:12" ht="90" x14ac:dyDescent="0.25">
      <c r="A45" s="42" t="s">
        <v>47</v>
      </c>
      <c r="B45" s="35" t="s">
        <v>3</v>
      </c>
      <c r="C45" s="49" t="s">
        <v>39</v>
      </c>
      <c r="D45" s="39" t="s">
        <v>40</v>
      </c>
      <c r="E45" s="30" t="s">
        <v>6</v>
      </c>
      <c r="F45" s="31">
        <v>146.69999999999999</v>
      </c>
      <c r="G45" s="36">
        <v>35.770000000000003</v>
      </c>
      <c r="H45" s="32">
        <f t="shared" si="2"/>
        <v>46.44</v>
      </c>
      <c r="I45" s="40">
        <f>F45*H45</f>
        <v>6812.7479999999996</v>
      </c>
      <c r="J45" s="8">
        <f>(18*8.15)</f>
        <v>146.70000000000002</v>
      </c>
    </row>
    <row r="46" spans="1:12" ht="54" customHeight="1" x14ac:dyDescent="0.25">
      <c r="A46" s="42" t="s">
        <v>48</v>
      </c>
      <c r="B46" s="35" t="s">
        <v>3</v>
      </c>
      <c r="C46" s="49" t="s">
        <v>123</v>
      </c>
      <c r="D46" s="39" t="s">
        <v>124</v>
      </c>
      <c r="E46" s="30" t="s">
        <v>6</v>
      </c>
      <c r="F46" s="31">
        <v>146.69999999999999</v>
      </c>
      <c r="G46" s="36">
        <v>76.83</v>
      </c>
      <c r="H46" s="32">
        <f t="shared" si="2"/>
        <v>99.76</v>
      </c>
      <c r="I46" s="40">
        <f t="shared" ref="I46:I47" si="18">F46*H46</f>
        <v>14634.791999999999</v>
      </c>
      <c r="J46" s="8">
        <f>(18*8.15)</f>
        <v>146.70000000000002</v>
      </c>
    </row>
    <row r="47" spans="1:12" ht="37.5" customHeight="1" x14ac:dyDescent="0.25">
      <c r="A47" s="42" t="s">
        <v>140</v>
      </c>
      <c r="B47" s="35" t="s">
        <v>3</v>
      </c>
      <c r="C47" s="49" t="s">
        <v>136</v>
      </c>
      <c r="D47" s="39" t="s">
        <v>135</v>
      </c>
      <c r="E47" s="30" t="s">
        <v>14</v>
      </c>
      <c r="F47" s="31">
        <v>32.450000000000003</v>
      </c>
      <c r="G47" s="36">
        <v>13.86</v>
      </c>
      <c r="H47" s="32">
        <f t="shared" si="2"/>
        <v>18</v>
      </c>
      <c r="I47" s="40">
        <f t="shared" si="18"/>
        <v>584.1</v>
      </c>
      <c r="J47" s="5">
        <f>(18)+(8.15+6.3)</f>
        <v>32.450000000000003</v>
      </c>
    </row>
    <row r="48" spans="1:12" s="5" customFormat="1" ht="64.5" customHeight="1" x14ac:dyDescent="0.25">
      <c r="A48" s="42" t="s">
        <v>256</v>
      </c>
      <c r="B48" s="35" t="s">
        <v>3</v>
      </c>
      <c r="C48" s="49" t="s">
        <v>141</v>
      </c>
      <c r="D48" s="39" t="s">
        <v>142</v>
      </c>
      <c r="E48" s="30" t="s">
        <v>6</v>
      </c>
      <c r="F48" s="31">
        <v>55.2</v>
      </c>
      <c r="G48" s="36">
        <v>51.63</v>
      </c>
      <c r="H48" s="32">
        <f t="shared" ref="H48" si="19">ROUND(G48+(G48*$I$7),2)</f>
        <v>67.040000000000006</v>
      </c>
      <c r="I48" s="40">
        <f t="shared" ref="I48" si="20">F48*H48</f>
        <v>3700.6080000000006</v>
      </c>
      <c r="J48" s="5">
        <f>((6.05+3.15)*2*3)</f>
        <v>55.199999999999996</v>
      </c>
    </row>
    <row r="49" spans="1:10" s="5" customFormat="1" x14ac:dyDescent="0.25">
      <c r="A49" s="34" t="s">
        <v>115</v>
      </c>
      <c r="B49" s="35"/>
      <c r="C49" s="49"/>
      <c r="D49" s="41" t="s">
        <v>138</v>
      </c>
      <c r="E49" s="30" t="s">
        <v>1</v>
      </c>
      <c r="F49" s="31">
        <v>0</v>
      </c>
      <c r="G49" s="36"/>
      <c r="H49" s="32"/>
      <c r="I49" s="37">
        <f>SUM(I50:I52)</f>
        <v>3464.8856000000001</v>
      </c>
    </row>
    <row r="50" spans="1:10" s="5" customFormat="1" ht="83.25" customHeight="1" x14ac:dyDescent="0.25">
      <c r="A50" s="42" t="s">
        <v>116</v>
      </c>
      <c r="B50" s="35" t="s">
        <v>3</v>
      </c>
      <c r="C50" s="49" t="s">
        <v>109</v>
      </c>
      <c r="D50" s="39" t="s">
        <v>237</v>
      </c>
      <c r="E50" s="30" t="s">
        <v>46</v>
      </c>
      <c r="F50" s="31">
        <v>1</v>
      </c>
      <c r="G50" s="36">
        <v>754.27</v>
      </c>
      <c r="H50" s="32">
        <f t="shared" ref="H50:H52" si="21">ROUND(G50+(G50*$I$7),2)</f>
        <v>979.34</v>
      </c>
      <c r="I50" s="40">
        <f>F50*H50</f>
        <v>979.34</v>
      </c>
      <c r="J50" s="5">
        <v>1</v>
      </c>
    </row>
    <row r="51" spans="1:10" s="5" customFormat="1" ht="30" x14ac:dyDescent="0.25">
      <c r="A51" s="42" t="s">
        <v>53</v>
      </c>
      <c r="B51" s="35" t="s">
        <v>3</v>
      </c>
      <c r="C51" s="49" t="s">
        <v>133</v>
      </c>
      <c r="D51" s="39" t="s">
        <v>134</v>
      </c>
      <c r="E51" s="30" t="s">
        <v>6</v>
      </c>
      <c r="F51" s="31">
        <v>4.8</v>
      </c>
      <c r="G51" s="36">
        <v>285.48</v>
      </c>
      <c r="H51" s="32">
        <f t="shared" si="21"/>
        <v>370.67</v>
      </c>
      <c r="I51" s="40">
        <f t="shared" ref="I51:I52" si="22">F51*H51</f>
        <v>1779.2160000000001</v>
      </c>
      <c r="J51" s="5">
        <f>((2*1.2)*2)</f>
        <v>4.8</v>
      </c>
    </row>
    <row r="52" spans="1:10" s="5" customFormat="1" ht="30" x14ac:dyDescent="0.25">
      <c r="A52" s="42" t="s">
        <v>118</v>
      </c>
      <c r="B52" s="35" t="s">
        <v>49</v>
      </c>
      <c r="C52" s="49" t="s">
        <v>50</v>
      </c>
      <c r="D52" s="39" t="s">
        <v>51</v>
      </c>
      <c r="E52" s="30" t="s">
        <v>128</v>
      </c>
      <c r="F52" s="31">
        <v>1.36</v>
      </c>
      <c r="G52" s="36">
        <v>400</v>
      </c>
      <c r="H52" s="32">
        <f t="shared" si="21"/>
        <v>519.36</v>
      </c>
      <c r="I52" s="40">
        <f t="shared" si="22"/>
        <v>706.32960000000003</v>
      </c>
      <c r="J52" s="8">
        <f>((0.2*0.8)*1)+((0.3*2)*2)</f>
        <v>1.3599999999999999</v>
      </c>
    </row>
    <row r="53" spans="1:10" s="5" customFormat="1" x14ac:dyDescent="0.25">
      <c r="A53" s="34" t="s">
        <v>56</v>
      </c>
      <c r="B53" s="35"/>
      <c r="C53" s="49"/>
      <c r="D53" s="41" t="s">
        <v>83</v>
      </c>
      <c r="E53" s="30" t="s">
        <v>1</v>
      </c>
      <c r="F53" s="31">
        <v>0</v>
      </c>
      <c r="G53" s="36"/>
      <c r="H53" s="32"/>
      <c r="I53" s="37">
        <f>SUM(I54:I56)</f>
        <v>1463.0800000000002</v>
      </c>
    </row>
    <row r="54" spans="1:10" s="5" customFormat="1" ht="30" x14ac:dyDescent="0.25">
      <c r="A54" s="42" t="s">
        <v>58</v>
      </c>
      <c r="B54" s="35" t="s">
        <v>291</v>
      </c>
      <c r="C54" s="49" t="s">
        <v>293</v>
      </c>
      <c r="D54" s="39" t="s">
        <v>244</v>
      </c>
      <c r="E54" s="30" t="s">
        <v>46</v>
      </c>
      <c r="F54" s="31">
        <v>4</v>
      </c>
      <c r="G54" s="36">
        <v>92.9</v>
      </c>
      <c r="H54" s="32">
        <f t="shared" ref="H54:H55" si="23">ROUND(G54+(G54*$I$7),2)</f>
        <v>120.62</v>
      </c>
      <c r="I54" s="40">
        <f t="shared" ref="I54" si="24">F54*H54</f>
        <v>482.48</v>
      </c>
      <c r="J54" s="15">
        <v>4</v>
      </c>
    </row>
    <row r="55" spans="1:10" s="5" customFormat="1" ht="45" x14ac:dyDescent="0.25">
      <c r="A55" s="42" t="s">
        <v>60</v>
      </c>
      <c r="B55" s="35" t="s">
        <v>291</v>
      </c>
      <c r="C55" s="49" t="s">
        <v>294</v>
      </c>
      <c r="D55" s="39" t="s">
        <v>245</v>
      </c>
      <c r="E55" s="30" t="s">
        <v>46</v>
      </c>
      <c r="F55" s="31">
        <v>4</v>
      </c>
      <c r="G55" s="36">
        <v>111.36</v>
      </c>
      <c r="H55" s="32">
        <f t="shared" si="23"/>
        <v>144.59</v>
      </c>
      <c r="I55" s="40">
        <f t="shared" ref="I55" si="25">F55*H55</f>
        <v>578.36</v>
      </c>
      <c r="J55" s="15">
        <v>4</v>
      </c>
    </row>
    <row r="56" spans="1:10" s="5" customFormat="1" ht="45" x14ac:dyDescent="0.25">
      <c r="A56" s="42" t="s">
        <v>63</v>
      </c>
      <c r="B56" s="35" t="s">
        <v>291</v>
      </c>
      <c r="C56" s="49" t="s">
        <v>295</v>
      </c>
      <c r="D56" s="39" t="s">
        <v>246</v>
      </c>
      <c r="E56" s="30" t="s">
        <v>46</v>
      </c>
      <c r="F56" s="31">
        <v>2</v>
      </c>
      <c r="G56" s="36">
        <v>154.9</v>
      </c>
      <c r="H56" s="32">
        <f t="shared" ref="H56" si="26">ROUND(G56+(G56*$I$7),2)</f>
        <v>201.12</v>
      </c>
      <c r="I56" s="40">
        <f t="shared" ref="I56" si="27">F56*H56</f>
        <v>402.24</v>
      </c>
      <c r="J56" s="15">
        <v>2</v>
      </c>
    </row>
    <row r="57" spans="1:10" s="5" customFormat="1" x14ac:dyDescent="0.25">
      <c r="A57" s="34" t="s">
        <v>68</v>
      </c>
      <c r="B57" s="35"/>
      <c r="C57" s="49"/>
      <c r="D57" s="41" t="s">
        <v>113</v>
      </c>
      <c r="E57" s="30" t="s">
        <v>1</v>
      </c>
      <c r="F57" s="31">
        <v>0</v>
      </c>
      <c r="G57" s="36"/>
      <c r="H57" s="32"/>
      <c r="I57" s="37">
        <f>SUM(I58:I59)</f>
        <v>1603.53</v>
      </c>
    </row>
    <row r="58" spans="1:10" s="5" customFormat="1" ht="75" x14ac:dyDescent="0.25">
      <c r="A58" s="42" t="s">
        <v>70</v>
      </c>
      <c r="B58" s="35" t="s">
        <v>3</v>
      </c>
      <c r="C58" s="49" t="s">
        <v>114</v>
      </c>
      <c r="D58" s="39" t="s">
        <v>238</v>
      </c>
      <c r="E58" s="30" t="s">
        <v>46</v>
      </c>
      <c r="F58" s="31">
        <v>3</v>
      </c>
      <c r="G58" s="36">
        <v>364.78</v>
      </c>
      <c r="H58" s="32">
        <f t="shared" ref="H58:H59" si="28">ROUND(G58+(G58*$I$7),2)</f>
        <v>473.63</v>
      </c>
      <c r="I58" s="40">
        <f t="shared" ref="I58:I59" si="29">F58*H58</f>
        <v>1420.8899999999999</v>
      </c>
      <c r="J58" s="5">
        <v>3</v>
      </c>
    </row>
    <row r="59" spans="1:10" s="5" customFormat="1" ht="45" x14ac:dyDescent="0.25">
      <c r="A59" s="42" t="s">
        <v>164</v>
      </c>
      <c r="B59" s="35" t="s">
        <v>3</v>
      </c>
      <c r="C59" s="49" t="s">
        <v>117</v>
      </c>
      <c r="D59" s="39" t="s">
        <v>239</v>
      </c>
      <c r="E59" s="30" t="s">
        <v>46</v>
      </c>
      <c r="F59" s="31">
        <v>3</v>
      </c>
      <c r="G59" s="36">
        <v>46.89</v>
      </c>
      <c r="H59" s="32">
        <f t="shared" si="28"/>
        <v>60.88</v>
      </c>
      <c r="I59" s="40">
        <f t="shared" si="29"/>
        <v>182.64000000000001</v>
      </c>
      <c r="J59" s="5">
        <v>3</v>
      </c>
    </row>
    <row r="60" spans="1:10" s="5" customFormat="1" x14ac:dyDescent="0.25">
      <c r="A60" s="34" t="s">
        <v>165</v>
      </c>
      <c r="B60" s="35"/>
      <c r="C60" s="49"/>
      <c r="D60" s="41" t="s">
        <v>57</v>
      </c>
      <c r="E60" s="30" t="s">
        <v>1</v>
      </c>
      <c r="F60" s="31">
        <v>0</v>
      </c>
      <c r="G60" s="36"/>
      <c r="H60" s="32"/>
      <c r="I60" s="37">
        <f>SUM(I61:I68)</f>
        <v>7845.67</v>
      </c>
    </row>
    <row r="61" spans="1:10" s="5" customFormat="1" ht="45" x14ac:dyDescent="0.25">
      <c r="A61" s="42" t="s">
        <v>166</v>
      </c>
      <c r="B61" s="35" t="s">
        <v>3</v>
      </c>
      <c r="C61" s="49" t="s">
        <v>143</v>
      </c>
      <c r="D61" s="39" t="s">
        <v>144</v>
      </c>
      <c r="E61" s="30" t="s">
        <v>59</v>
      </c>
      <c r="F61" s="31">
        <v>10</v>
      </c>
      <c r="G61" s="36">
        <v>112.83</v>
      </c>
      <c r="H61" s="32">
        <f t="shared" ref="H61:H68" si="30">ROUND(G61+(G61*$I$7),2)</f>
        <v>146.5</v>
      </c>
      <c r="I61" s="40">
        <f>F61*H61</f>
        <v>1465</v>
      </c>
      <c r="J61" s="5">
        <v>10</v>
      </c>
    </row>
    <row r="62" spans="1:10" s="5" customFormat="1" ht="45" x14ac:dyDescent="0.25">
      <c r="A62" s="42" t="s">
        <v>167</v>
      </c>
      <c r="B62" s="35" t="s">
        <v>3</v>
      </c>
      <c r="C62" s="49" t="s">
        <v>240</v>
      </c>
      <c r="D62" s="39" t="s">
        <v>241</v>
      </c>
      <c r="E62" s="30" t="s">
        <v>14</v>
      </c>
      <c r="F62" s="31">
        <v>300</v>
      </c>
      <c r="G62" s="36">
        <v>2.39</v>
      </c>
      <c r="H62" s="32">
        <f t="shared" ref="H62" si="31">ROUND(G62+(G62*$I$7),2)</f>
        <v>3.1</v>
      </c>
      <c r="I62" s="40">
        <f>F62*H62</f>
        <v>930</v>
      </c>
      <c r="J62" s="5">
        <v>300</v>
      </c>
    </row>
    <row r="63" spans="1:10" s="5" customFormat="1" ht="45" x14ac:dyDescent="0.25">
      <c r="A63" s="42" t="s">
        <v>168</v>
      </c>
      <c r="B63" s="35" t="s">
        <v>3</v>
      </c>
      <c r="C63" s="49" t="s">
        <v>61</v>
      </c>
      <c r="D63" s="39" t="s">
        <v>62</v>
      </c>
      <c r="E63" s="30" t="s">
        <v>14</v>
      </c>
      <c r="F63" s="31">
        <v>300</v>
      </c>
      <c r="G63" s="36">
        <v>3.52</v>
      </c>
      <c r="H63" s="32">
        <f t="shared" si="30"/>
        <v>4.57</v>
      </c>
      <c r="I63" s="40">
        <f t="shared" ref="I63:I68" si="32">F63*H63</f>
        <v>1371</v>
      </c>
      <c r="J63" s="5">
        <v>300</v>
      </c>
    </row>
    <row r="64" spans="1:10" s="5" customFormat="1" ht="45" x14ac:dyDescent="0.25">
      <c r="A64" s="42" t="s">
        <v>169</v>
      </c>
      <c r="B64" s="35" t="s">
        <v>3</v>
      </c>
      <c r="C64" s="49" t="s">
        <v>64</v>
      </c>
      <c r="D64" s="39" t="s">
        <v>65</v>
      </c>
      <c r="E64" s="30" t="s">
        <v>14</v>
      </c>
      <c r="F64" s="31">
        <v>300</v>
      </c>
      <c r="G64" s="36">
        <v>7.98</v>
      </c>
      <c r="H64" s="32">
        <f t="shared" si="30"/>
        <v>10.36</v>
      </c>
      <c r="I64" s="40">
        <f t="shared" si="32"/>
        <v>3108</v>
      </c>
      <c r="J64" s="5">
        <v>300</v>
      </c>
    </row>
    <row r="65" spans="1:13" s="5" customFormat="1" ht="45" x14ac:dyDescent="0.25">
      <c r="A65" s="42" t="s">
        <v>170</v>
      </c>
      <c r="B65" s="35" t="s">
        <v>3</v>
      </c>
      <c r="C65" s="49" t="s">
        <v>66</v>
      </c>
      <c r="D65" s="39" t="s">
        <v>67</v>
      </c>
      <c r="E65" s="30" t="s">
        <v>46</v>
      </c>
      <c r="F65" s="31">
        <v>10</v>
      </c>
      <c r="G65" s="36">
        <v>20.99</v>
      </c>
      <c r="H65" s="32">
        <f t="shared" si="30"/>
        <v>27.25</v>
      </c>
      <c r="I65" s="40">
        <f t="shared" si="32"/>
        <v>272.5</v>
      </c>
      <c r="J65" s="5">
        <v>10</v>
      </c>
    </row>
    <row r="66" spans="1:13" s="5" customFormat="1" ht="45" x14ac:dyDescent="0.25">
      <c r="A66" s="42" t="s">
        <v>171</v>
      </c>
      <c r="B66" s="35" t="s">
        <v>3</v>
      </c>
      <c r="C66" s="49" t="s">
        <v>145</v>
      </c>
      <c r="D66" s="39" t="s">
        <v>146</v>
      </c>
      <c r="E66" s="30" t="s">
        <v>46</v>
      </c>
      <c r="F66" s="31">
        <v>5</v>
      </c>
      <c r="G66" s="36">
        <v>40.700000000000003</v>
      </c>
      <c r="H66" s="32">
        <f t="shared" ref="H66" si="33">ROUND(G66+(G66*$I$7),2)</f>
        <v>52.84</v>
      </c>
      <c r="I66" s="40">
        <f t="shared" ref="I66" si="34">F66*H66</f>
        <v>264.20000000000005</v>
      </c>
      <c r="J66" s="5">
        <v>5</v>
      </c>
    </row>
    <row r="67" spans="1:13" s="5" customFormat="1" ht="45" x14ac:dyDescent="0.25">
      <c r="A67" s="42" t="s">
        <v>172</v>
      </c>
      <c r="B67" s="35" t="s">
        <v>32</v>
      </c>
      <c r="C67" s="49" t="s">
        <v>159</v>
      </c>
      <c r="D67" s="39" t="s">
        <v>147</v>
      </c>
      <c r="E67" s="30" t="s">
        <v>46</v>
      </c>
      <c r="F67" s="31">
        <v>1</v>
      </c>
      <c r="G67" s="36">
        <v>171.79</v>
      </c>
      <c r="H67" s="32">
        <f t="shared" si="30"/>
        <v>223.05</v>
      </c>
      <c r="I67" s="40">
        <f t="shared" si="32"/>
        <v>223.05</v>
      </c>
      <c r="J67" s="15">
        <v>1</v>
      </c>
    </row>
    <row r="68" spans="1:13" s="5" customFormat="1" ht="45" x14ac:dyDescent="0.25">
      <c r="A68" s="42" t="s">
        <v>173</v>
      </c>
      <c r="B68" s="35" t="s">
        <v>3</v>
      </c>
      <c r="C68" s="49" t="s">
        <v>110</v>
      </c>
      <c r="D68" s="39" t="s">
        <v>111</v>
      </c>
      <c r="E68" s="30" t="s">
        <v>46</v>
      </c>
      <c r="F68" s="31">
        <v>8</v>
      </c>
      <c r="G68" s="36">
        <v>20.399999999999999</v>
      </c>
      <c r="H68" s="32">
        <f t="shared" si="30"/>
        <v>26.49</v>
      </c>
      <c r="I68" s="40">
        <f t="shared" si="32"/>
        <v>211.92</v>
      </c>
      <c r="J68" s="5">
        <v>8</v>
      </c>
    </row>
    <row r="69" spans="1:13" s="5" customFormat="1" x14ac:dyDescent="0.25">
      <c r="A69" s="43"/>
      <c r="B69" s="35"/>
      <c r="C69" s="51"/>
      <c r="D69" s="39"/>
      <c r="E69" s="30"/>
      <c r="F69" s="31"/>
      <c r="G69" s="54"/>
      <c r="H69" s="32"/>
      <c r="I69" s="44"/>
    </row>
    <row r="70" spans="1:13" s="5" customFormat="1" x14ac:dyDescent="0.25">
      <c r="A70" s="28">
        <v>2</v>
      </c>
      <c r="B70" s="52"/>
      <c r="C70" s="47"/>
      <c r="D70" s="29" t="s">
        <v>148</v>
      </c>
      <c r="E70" s="30" t="s">
        <v>1</v>
      </c>
      <c r="F70" s="31">
        <v>0</v>
      </c>
      <c r="G70" s="53"/>
      <c r="H70" s="32">
        <v>0</v>
      </c>
      <c r="I70" s="33">
        <f>SUM(I71+I79+I90+I95+I99+I103+I110+I117+I125)</f>
        <v>230741.6176</v>
      </c>
      <c r="K70" s="6"/>
      <c r="L70" s="6"/>
      <c r="M70" s="6"/>
    </row>
    <row r="71" spans="1:13" s="5" customFormat="1" x14ac:dyDescent="0.25">
      <c r="A71" s="34" t="s">
        <v>174</v>
      </c>
      <c r="B71" s="35"/>
      <c r="C71" s="49"/>
      <c r="D71" s="41" t="s">
        <v>137</v>
      </c>
      <c r="E71" s="30" t="s">
        <v>1</v>
      </c>
      <c r="F71" s="31">
        <v>0</v>
      </c>
      <c r="G71" s="36"/>
      <c r="H71" s="32"/>
      <c r="I71" s="37">
        <f>SUM(I72:I78)</f>
        <v>58452.258000000002</v>
      </c>
      <c r="K71" s="6"/>
      <c r="L71" s="6"/>
      <c r="M71" s="6"/>
    </row>
    <row r="72" spans="1:13" s="5" customFormat="1" ht="45" x14ac:dyDescent="0.25">
      <c r="A72" s="42" t="s">
        <v>175</v>
      </c>
      <c r="B72" s="35" t="s">
        <v>3</v>
      </c>
      <c r="C72" s="49" t="s">
        <v>16</v>
      </c>
      <c r="D72" s="39" t="s">
        <v>17</v>
      </c>
      <c r="E72" s="30" t="s">
        <v>6</v>
      </c>
      <c r="F72" s="31">
        <v>50.4</v>
      </c>
      <c r="G72" s="36">
        <v>83.11</v>
      </c>
      <c r="H72" s="32">
        <f t="shared" ref="H72:H78" si="35">ROUND(G72+(G72*$I$7),2)</f>
        <v>107.91</v>
      </c>
      <c r="I72" s="40">
        <f>(F72*H72)</f>
        <v>5438.6639999999998</v>
      </c>
      <c r="J72" s="8">
        <f>(28*0.3*2)*3</f>
        <v>50.400000000000006</v>
      </c>
      <c r="K72" s="8"/>
      <c r="L72" s="6"/>
      <c r="M72" s="6"/>
    </row>
    <row r="73" spans="1:13" s="5" customFormat="1" ht="60" x14ac:dyDescent="0.25">
      <c r="A73" s="42" t="s">
        <v>176</v>
      </c>
      <c r="B73" s="35" t="s">
        <v>3</v>
      </c>
      <c r="C73" s="49" t="s">
        <v>19</v>
      </c>
      <c r="D73" s="39" t="s">
        <v>20</v>
      </c>
      <c r="E73" s="30" t="s">
        <v>21</v>
      </c>
      <c r="F73" s="31">
        <v>315</v>
      </c>
      <c r="G73" s="36">
        <v>15.19</v>
      </c>
      <c r="H73" s="32">
        <f t="shared" si="35"/>
        <v>19.72</v>
      </c>
      <c r="I73" s="40">
        <f t="shared" ref="I73:I78" si="36">F73*H73</f>
        <v>6211.7999999999993</v>
      </c>
      <c r="J73" s="8">
        <f>(3.15*100)</f>
        <v>315</v>
      </c>
    </row>
    <row r="74" spans="1:13" s="5" customFormat="1" ht="45" x14ac:dyDescent="0.25">
      <c r="A74" s="42" t="s">
        <v>177</v>
      </c>
      <c r="B74" s="35" t="s">
        <v>3</v>
      </c>
      <c r="C74" s="49" t="s">
        <v>122</v>
      </c>
      <c r="D74" s="39" t="s">
        <v>132</v>
      </c>
      <c r="E74" s="30" t="s">
        <v>12</v>
      </c>
      <c r="F74" s="31">
        <v>3.15</v>
      </c>
      <c r="G74" s="36">
        <v>443.84</v>
      </c>
      <c r="H74" s="32">
        <f t="shared" si="35"/>
        <v>576.28</v>
      </c>
      <c r="I74" s="40">
        <f t="shared" si="36"/>
        <v>1815.2819999999999</v>
      </c>
      <c r="J74" s="8">
        <f>(28*3*0.15*0.25)</f>
        <v>3.15</v>
      </c>
    </row>
    <row r="75" spans="1:13" s="5" customFormat="1" ht="75" x14ac:dyDescent="0.25">
      <c r="A75" s="42" t="s">
        <v>178</v>
      </c>
      <c r="B75" s="35" t="s">
        <v>3</v>
      </c>
      <c r="C75" s="49" t="s">
        <v>24</v>
      </c>
      <c r="D75" s="39" t="s">
        <v>25</v>
      </c>
      <c r="E75" s="30" t="s">
        <v>6</v>
      </c>
      <c r="F75" s="31">
        <v>196.8</v>
      </c>
      <c r="G75" s="36">
        <v>67.38</v>
      </c>
      <c r="H75" s="32">
        <f t="shared" si="35"/>
        <v>87.49</v>
      </c>
      <c r="I75" s="40">
        <f t="shared" si="36"/>
        <v>17218.031999999999</v>
      </c>
      <c r="J75" s="8">
        <f>(18+18+8.15+8.15+6.65+6.65)*3</f>
        <v>196.79999999999998</v>
      </c>
    </row>
    <row r="76" spans="1:13" s="5" customFormat="1" ht="30" x14ac:dyDescent="0.25">
      <c r="A76" s="42" t="s">
        <v>179</v>
      </c>
      <c r="B76" s="35" t="s">
        <v>3</v>
      </c>
      <c r="C76" s="49" t="s">
        <v>26</v>
      </c>
      <c r="D76" s="39" t="s">
        <v>27</v>
      </c>
      <c r="E76" s="30" t="s">
        <v>14</v>
      </c>
      <c r="F76" s="31">
        <v>131.19999999999999</v>
      </c>
      <c r="G76" s="36">
        <v>74.489999999999995</v>
      </c>
      <c r="H76" s="32">
        <f t="shared" si="35"/>
        <v>96.72</v>
      </c>
      <c r="I76" s="40">
        <f t="shared" si="36"/>
        <v>12689.663999999999</v>
      </c>
      <c r="J76" s="8">
        <f>(18+18+8.15+8.15+6.65+6.65)*2</f>
        <v>131.19999999999999</v>
      </c>
    </row>
    <row r="77" spans="1:13" s="5" customFormat="1" ht="60" x14ac:dyDescent="0.25">
      <c r="A77" s="42" t="s">
        <v>180</v>
      </c>
      <c r="B77" s="35" t="s">
        <v>3</v>
      </c>
      <c r="C77" s="49" t="s">
        <v>28</v>
      </c>
      <c r="D77" s="39" t="s">
        <v>29</v>
      </c>
      <c r="E77" s="30" t="s">
        <v>6</v>
      </c>
      <c r="F77" s="31">
        <v>393.6</v>
      </c>
      <c r="G77" s="36">
        <v>3.09</v>
      </c>
      <c r="H77" s="32">
        <f t="shared" si="35"/>
        <v>4.01</v>
      </c>
      <c r="I77" s="40">
        <f t="shared" si="36"/>
        <v>1578.336</v>
      </c>
      <c r="J77" s="5">
        <f>(196.8*2)</f>
        <v>393.6</v>
      </c>
    </row>
    <row r="78" spans="1:13" s="5" customFormat="1" ht="75" x14ac:dyDescent="0.25">
      <c r="A78" s="42" t="s">
        <v>181</v>
      </c>
      <c r="B78" s="35" t="s">
        <v>3</v>
      </c>
      <c r="C78" s="49" t="s">
        <v>30</v>
      </c>
      <c r="D78" s="39" t="s">
        <v>31</v>
      </c>
      <c r="E78" s="30" t="s">
        <v>6</v>
      </c>
      <c r="F78" s="31">
        <v>393.6</v>
      </c>
      <c r="G78" s="36">
        <v>26.42</v>
      </c>
      <c r="H78" s="32">
        <f t="shared" si="35"/>
        <v>34.299999999999997</v>
      </c>
      <c r="I78" s="40">
        <f t="shared" si="36"/>
        <v>13500.48</v>
      </c>
      <c r="J78" s="5">
        <f>(196.8*2)</f>
        <v>393.6</v>
      </c>
    </row>
    <row r="79" spans="1:13" s="5" customFormat="1" x14ac:dyDescent="0.25">
      <c r="A79" s="34" t="s">
        <v>182</v>
      </c>
      <c r="B79" s="35"/>
      <c r="C79" s="49"/>
      <c r="D79" s="41" t="s">
        <v>34</v>
      </c>
      <c r="E79" s="30" t="s">
        <v>1</v>
      </c>
      <c r="F79" s="31">
        <v>0</v>
      </c>
      <c r="G79" s="36"/>
      <c r="H79" s="32"/>
      <c r="I79" s="37">
        <f>SUM(I80:I89)</f>
        <v>101103.17959999999</v>
      </c>
    </row>
    <row r="80" spans="1:13" s="5" customFormat="1" ht="60" x14ac:dyDescent="0.25">
      <c r="A80" s="42" t="s">
        <v>183</v>
      </c>
      <c r="B80" s="35" t="s">
        <v>3</v>
      </c>
      <c r="C80" s="49" t="s">
        <v>99</v>
      </c>
      <c r="D80" s="39" t="s">
        <v>100</v>
      </c>
      <c r="E80" s="30" t="s">
        <v>6</v>
      </c>
      <c r="F80" s="31">
        <v>146.69999999999999</v>
      </c>
      <c r="G80" s="36">
        <v>185.58</v>
      </c>
      <c r="H80" s="32">
        <f t="shared" ref="H80:H85" si="37">ROUND(G80+(G80*$I$7),2)</f>
        <v>240.96</v>
      </c>
      <c r="I80" s="40">
        <f t="shared" ref="I80:I85" si="38">F80*H80</f>
        <v>35348.831999999995</v>
      </c>
      <c r="J80" s="8">
        <f>(18*8.15)</f>
        <v>146.70000000000002</v>
      </c>
    </row>
    <row r="81" spans="1:10" s="5" customFormat="1" ht="35.25" customHeight="1" x14ac:dyDescent="0.25">
      <c r="A81" s="42" t="s">
        <v>184</v>
      </c>
      <c r="B81" s="35" t="s">
        <v>3</v>
      </c>
      <c r="C81" s="49" t="s">
        <v>125</v>
      </c>
      <c r="D81" s="39" t="s">
        <v>126</v>
      </c>
      <c r="E81" s="30" t="s">
        <v>14</v>
      </c>
      <c r="F81" s="31">
        <v>440.1</v>
      </c>
      <c r="G81" s="36">
        <v>11.62</v>
      </c>
      <c r="H81" s="32">
        <f t="shared" si="37"/>
        <v>15.09</v>
      </c>
      <c r="I81" s="40">
        <f t="shared" si="38"/>
        <v>6641.1090000000004</v>
      </c>
      <c r="J81" s="8">
        <f>(146.7*1*3)</f>
        <v>440.09999999999997</v>
      </c>
    </row>
    <row r="82" spans="1:10" s="5" customFormat="1" ht="60" x14ac:dyDescent="0.25">
      <c r="A82" s="42" t="s">
        <v>185</v>
      </c>
      <c r="B82" s="35" t="s">
        <v>3</v>
      </c>
      <c r="C82" s="49" t="s">
        <v>28</v>
      </c>
      <c r="D82" s="39" t="s">
        <v>29</v>
      </c>
      <c r="E82" s="30" t="s">
        <v>6</v>
      </c>
      <c r="F82" s="31">
        <v>146.69999999999999</v>
      </c>
      <c r="G82" s="36">
        <v>3.09</v>
      </c>
      <c r="H82" s="32">
        <f t="shared" si="37"/>
        <v>4.01</v>
      </c>
      <c r="I82" s="40">
        <f t="shared" si="38"/>
        <v>588.26699999999994</v>
      </c>
      <c r="J82" s="8">
        <f>(18*8.15)</f>
        <v>146.70000000000002</v>
      </c>
    </row>
    <row r="83" spans="1:10" s="5" customFormat="1" ht="75" x14ac:dyDescent="0.25">
      <c r="A83" s="42" t="s">
        <v>186</v>
      </c>
      <c r="B83" s="35" t="s">
        <v>3</v>
      </c>
      <c r="C83" s="49" t="s">
        <v>30</v>
      </c>
      <c r="D83" s="39" t="s">
        <v>31</v>
      </c>
      <c r="E83" s="30" t="s">
        <v>6</v>
      </c>
      <c r="F83" s="31">
        <v>146.69999999999999</v>
      </c>
      <c r="G83" s="36">
        <v>26.42</v>
      </c>
      <c r="H83" s="32">
        <f t="shared" si="37"/>
        <v>34.299999999999997</v>
      </c>
      <c r="I83" s="40">
        <f t="shared" si="38"/>
        <v>5031.8099999999995</v>
      </c>
      <c r="J83" s="8">
        <f>(18*8.15)</f>
        <v>146.70000000000002</v>
      </c>
    </row>
    <row r="84" spans="1:10" s="5" customFormat="1" ht="64.5" customHeight="1" x14ac:dyDescent="0.25">
      <c r="A84" s="42" t="s">
        <v>187</v>
      </c>
      <c r="B84" s="35" t="s">
        <v>3</v>
      </c>
      <c r="C84" s="49" t="s">
        <v>103</v>
      </c>
      <c r="D84" s="39" t="s">
        <v>104</v>
      </c>
      <c r="E84" s="30" t="s">
        <v>6</v>
      </c>
      <c r="F84" s="31">
        <v>179.52</v>
      </c>
      <c r="G84" s="36">
        <v>114.29</v>
      </c>
      <c r="H84" s="32">
        <f t="shared" si="37"/>
        <v>148.38999999999999</v>
      </c>
      <c r="I84" s="40">
        <f t="shared" si="38"/>
        <v>26638.9728</v>
      </c>
      <c r="J84" s="13">
        <f>(19.2*9.35)</f>
        <v>179.51999999999998</v>
      </c>
    </row>
    <row r="85" spans="1:10" s="5" customFormat="1" ht="45" x14ac:dyDescent="0.25">
      <c r="A85" s="42" t="s">
        <v>188</v>
      </c>
      <c r="B85" s="35" t="s">
        <v>3</v>
      </c>
      <c r="C85" s="49" t="s">
        <v>101</v>
      </c>
      <c r="D85" s="39" t="s">
        <v>102</v>
      </c>
      <c r="E85" s="30" t="s">
        <v>6</v>
      </c>
      <c r="F85" s="31">
        <v>179.52</v>
      </c>
      <c r="G85" s="36">
        <v>39.380000000000003</v>
      </c>
      <c r="H85" s="32">
        <f t="shared" si="37"/>
        <v>51.13</v>
      </c>
      <c r="I85" s="40">
        <f t="shared" si="38"/>
        <v>9178.8576000000012</v>
      </c>
      <c r="J85" s="13">
        <f>(19.2*9.35)</f>
        <v>179.51999999999998</v>
      </c>
    </row>
    <row r="86" spans="1:10" s="5" customFormat="1" ht="30" x14ac:dyDescent="0.25">
      <c r="A86" s="42" t="s">
        <v>189</v>
      </c>
      <c r="B86" s="35" t="s">
        <v>3</v>
      </c>
      <c r="C86" s="49" t="s">
        <v>262</v>
      </c>
      <c r="D86" s="39" t="s">
        <v>263</v>
      </c>
      <c r="E86" s="30" t="s">
        <v>14</v>
      </c>
      <c r="F86" s="31">
        <v>89.42</v>
      </c>
      <c r="G86" s="36">
        <v>56.78</v>
      </c>
      <c r="H86" s="32">
        <f t="shared" ref="H86" si="39">ROUND(G86+(G86*$I$7),2)</f>
        <v>73.72</v>
      </c>
      <c r="I86" s="40">
        <f t="shared" ref="I86" si="40">F86*H86</f>
        <v>6592.0424000000003</v>
      </c>
      <c r="J86" s="13"/>
    </row>
    <row r="87" spans="1:10" s="5" customFormat="1" ht="45" x14ac:dyDescent="0.25">
      <c r="A87" s="42" t="s">
        <v>190</v>
      </c>
      <c r="B87" s="35" t="s">
        <v>3</v>
      </c>
      <c r="C87" s="49" t="s">
        <v>130</v>
      </c>
      <c r="D87" s="39" t="s">
        <v>131</v>
      </c>
      <c r="E87" s="30" t="s">
        <v>14</v>
      </c>
      <c r="F87" s="31">
        <v>57.1</v>
      </c>
      <c r="G87" s="36">
        <v>78.56</v>
      </c>
      <c r="H87" s="32">
        <f t="shared" ref="H87" si="41">ROUND(G87+(G87*$I$7),2)</f>
        <v>102</v>
      </c>
      <c r="I87" s="40">
        <f t="shared" ref="I87" si="42">F87*H87</f>
        <v>5824.2</v>
      </c>
      <c r="J87" s="13">
        <f>(19.2+9.35)*2</f>
        <v>57.099999999999994</v>
      </c>
    </row>
    <row r="88" spans="1:10" s="5" customFormat="1" ht="45" x14ac:dyDescent="0.25">
      <c r="A88" s="42" t="s">
        <v>191</v>
      </c>
      <c r="B88" s="35" t="s">
        <v>3</v>
      </c>
      <c r="C88" s="49" t="s">
        <v>157</v>
      </c>
      <c r="D88" s="39" t="s">
        <v>158</v>
      </c>
      <c r="E88" s="30" t="s">
        <v>14</v>
      </c>
      <c r="F88" s="31">
        <v>26.44</v>
      </c>
      <c r="G88" s="36">
        <v>67.790000000000006</v>
      </c>
      <c r="H88" s="32">
        <f t="shared" ref="H88" si="43">ROUND(G88+(G88*$I$7),2)</f>
        <v>88.02</v>
      </c>
      <c r="I88" s="40">
        <f t="shared" ref="I88" si="44">F88*H88</f>
        <v>2327.2487999999998</v>
      </c>
      <c r="J88" s="13">
        <f>(6.61*4)</f>
        <v>26.44</v>
      </c>
    </row>
    <row r="89" spans="1:10" s="5" customFormat="1" ht="45" x14ac:dyDescent="0.25">
      <c r="A89" s="42" t="s">
        <v>264</v>
      </c>
      <c r="B89" s="35" t="s">
        <v>3</v>
      </c>
      <c r="C89" s="49" t="s">
        <v>265</v>
      </c>
      <c r="D89" s="39" t="s">
        <v>266</v>
      </c>
      <c r="E89" s="30" t="s">
        <v>14</v>
      </c>
      <c r="F89" s="31">
        <v>48</v>
      </c>
      <c r="G89" s="36">
        <v>47.04</v>
      </c>
      <c r="H89" s="32">
        <f t="shared" ref="H89" si="45">ROUND(G89+(G89*$I$7),2)</f>
        <v>61.08</v>
      </c>
      <c r="I89" s="40">
        <f t="shared" ref="I89" si="46">F89*H89</f>
        <v>2931.84</v>
      </c>
      <c r="J89" s="13">
        <f>8*6</f>
        <v>48</v>
      </c>
    </row>
    <row r="90" spans="1:10" s="5" customFormat="1" x14ac:dyDescent="0.25">
      <c r="A90" s="34" t="s">
        <v>192</v>
      </c>
      <c r="B90" s="35"/>
      <c r="C90" s="49"/>
      <c r="D90" s="41" t="s">
        <v>52</v>
      </c>
      <c r="E90" s="30"/>
      <c r="F90" s="31">
        <v>0</v>
      </c>
      <c r="G90" s="36"/>
      <c r="H90" s="32"/>
      <c r="I90" s="37">
        <f>SUM(I91:I94)</f>
        <v>9788.7240000000002</v>
      </c>
      <c r="J90" s="8"/>
    </row>
    <row r="91" spans="1:10" s="5" customFormat="1" ht="30" x14ac:dyDescent="0.25">
      <c r="A91" s="42" t="s">
        <v>193</v>
      </c>
      <c r="B91" s="35" t="s">
        <v>3</v>
      </c>
      <c r="C91" s="49" t="s">
        <v>105</v>
      </c>
      <c r="D91" s="39" t="s">
        <v>106</v>
      </c>
      <c r="E91" s="30" t="s">
        <v>6</v>
      </c>
      <c r="F91" s="31">
        <v>393.6</v>
      </c>
      <c r="G91" s="36">
        <v>2.3199999999999998</v>
      </c>
      <c r="H91" s="32">
        <f t="shared" ref="H91:H92" si="47">ROUND(G91+(G91*$I$7),2)</f>
        <v>3.01</v>
      </c>
      <c r="I91" s="40">
        <f t="shared" ref="I91:I92" si="48">F91*H91</f>
        <v>1184.7359999999999</v>
      </c>
      <c r="J91" s="8">
        <f>(196.8*2)</f>
        <v>393.6</v>
      </c>
    </row>
    <row r="92" spans="1:10" s="5" customFormat="1" ht="30" x14ac:dyDescent="0.25">
      <c r="A92" s="42" t="s">
        <v>194</v>
      </c>
      <c r="B92" s="35" t="s">
        <v>3</v>
      </c>
      <c r="C92" s="49" t="s">
        <v>54</v>
      </c>
      <c r="D92" s="39" t="s">
        <v>55</v>
      </c>
      <c r="E92" s="30" t="s">
        <v>6</v>
      </c>
      <c r="F92" s="31">
        <v>393.6</v>
      </c>
      <c r="G92" s="36">
        <v>11.15</v>
      </c>
      <c r="H92" s="32">
        <f t="shared" si="47"/>
        <v>14.48</v>
      </c>
      <c r="I92" s="40">
        <f t="shared" si="48"/>
        <v>5699.3280000000004</v>
      </c>
      <c r="J92" s="8">
        <f>(196.8*2)</f>
        <v>393.6</v>
      </c>
    </row>
    <row r="93" spans="1:10" s="5" customFormat="1" ht="30" x14ac:dyDescent="0.25">
      <c r="A93" s="42" t="s">
        <v>195</v>
      </c>
      <c r="B93" s="35" t="s">
        <v>3</v>
      </c>
      <c r="C93" s="49" t="s">
        <v>234</v>
      </c>
      <c r="D93" s="39" t="s">
        <v>235</v>
      </c>
      <c r="E93" s="30" t="s">
        <v>6</v>
      </c>
      <c r="F93" s="31">
        <v>146.69999999999999</v>
      </c>
      <c r="G93" s="36">
        <v>2.64</v>
      </c>
      <c r="H93" s="32">
        <f t="shared" ref="H93:H94" si="49">ROUND(G93+(G93*$I$7),2)</f>
        <v>3.43</v>
      </c>
      <c r="I93" s="40">
        <f t="shared" ref="I93:I94" si="50">F93*H93</f>
        <v>503.18099999999998</v>
      </c>
      <c r="J93" s="8">
        <f>(18*8.15)</f>
        <v>146.70000000000002</v>
      </c>
    </row>
    <row r="94" spans="1:10" s="5" customFormat="1" ht="30" x14ac:dyDescent="0.25">
      <c r="A94" s="42" t="s">
        <v>196</v>
      </c>
      <c r="B94" s="35" t="s">
        <v>3</v>
      </c>
      <c r="C94" s="49" t="s">
        <v>233</v>
      </c>
      <c r="D94" s="39" t="s">
        <v>236</v>
      </c>
      <c r="E94" s="30" t="s">
        <v>6</v>
      </c>
      <c r="F94" s="31">
        <v>146.69999999999999</v>
      </c>
      <c r="G94" s="36">
        <v>12.61</v>
      </c>
      <c r="H94" s="32">
        <f t="shared" si="49"/>
        <v>16.37</v>
      </c>
      <c r="I94" s="40">
        <f t="shared" si="50"/>
        <v>2401.4789999999998</v>
      </c>
      <c r="J94" s="8">
        <f>(18*8.15)</f>
        <v>146.70000000000002</v>
      </c>
    </row>
    <row r="95" spans="1:10" s="5" customFormat="1" x14ac:dyDescent="0.25">
      <c r="A95" s="34" t="s">
        <v>197</v>
      </c>
      <c r="B95" s="35"/>
      <c r="C95" s="49"/>
      <c r="D95" s="41" t="s">
        <v>37</v>
      </c>
      <c r="E95" s="30"/>
      <c r="F95" s="31">
        <v>0</v>
      </c>
      <c r="G95" s="36"/>
      <c r="H95" s="32"/>
      <c r="I95" s="37">
        <f>SUM(I96:I98)</f>
        <v>23057.100000000002</v>
      </c>
    </row>
    <row r="96" spans="1:10" s="5" customFormat="1" ht="90" x14ac:dyDescent="0.25">
      <c r="A96" s="42" t="s">
        <v>198</v>
      </c>
      <c r="B96" s="35" t="s">
        <v>3</v>
      </c>
      <c r="C96" s="49" t="s">
        <v>39</v>
      </c>
      <c r="D96" s="39" t="s">
        <v>40</v>
      </c>
      <c r="E96" s="30" t="s">
        <v>6</v>
      </c>
      <c r="F96" s="31">
        <v>146.69999999999999</v>
      </c>
      <c r="G96" s="36">
        <v>35.770000000000003</v>
      </c>
      <c r="H96" s="32">
        <f t="shared" ref="H96:H98" si="51">ROUND(G96+(G96*$I$7),2)</f>
        <v>46.44</v>
      </c>
      <c r="I96" s="40">
        <f>F96*H96</f>
        <v>6812.7479999999996</v>
      </c>
      <c r="J96" s="8">
        <f>(18*8.15)</f>
        <v>146.70000000000002</v>
      </c>
    </row>
    <row r="97" spans="1:13" s="5" customFormat="1" ht="48.75" customHeight="1" x14ac:dyDescent="0.25">
      <c r="A97" s="42" t="s">
        <v>199</v>
      </c>
      <c r="B97" s="35" t="s">
        <v>3</v>
      </c>
      <c r="C97" s="49" t="s">
        <v>42</v>
      </c>
      <c r="D97" s="39" t="s">
        <v>127</v>
      </c>
      <c r="E97" s="30" t="s">
        <v>6</v>
      </c>
      <c r="F97" s="31">
        <v>146.69999999999999</v>
      </c>
      <c r="G97" s="36">
        <v>76.83</v>
      </c>
      <c r="H97" s="32">
        <f t="shared" si="51"/>
        <v>99.76</v>
      </c>
      <c r="I97" s="40">
        <f t="shared" ref="I97:I98" si="52">F97*H97</f>
        <v>14634.791999999999</v>
      </c>
      <c r="J97" s="8">
        <f>(18*8.15)</f>
        <v>146.70000000000002</v>
      </c>
    </row>
    <row r="98" spans="1:13" s="5" customFormat="1" ht="38.25" customHeight="1" x14ac:dyDescent="0.25">
      <c r="A98" s="42" t="s">
        <v>200</v>
      </c>
      <c r="B98" s="35" t="s">
        <v>3</v>
      </c>
      <c r="C98" s="49" t="s">
        <v>136</v>
      </c>
      <c r="D98" s="39" t="s">
        <v>135</v>
      </c>
      <c r="E98" s="30" t="s">
        <v>14</v>
      </c>
      <c r="F98" s="31">
        <v>89.42</v>
      </c>
      <c r="G98" s="36">
        <v>13.86</v>
      </c>
      <c r="H98" s="32">
        <f t="shared" si="51"/>
        <v>18</v>
      </c>
      <c r="I98" s="40">
        <f t="shared" si="52"/>
        <v>1609.56</v>
      </c>
      <c r="J98" s="5">
        <f>((7.85+5.73)*2)+((5.68+6.35)*2)+((6+6.35)*2)+1.5+12</f>
        <v>89.42</v>
      </c>
    </row>
    <row r="99" spans="1:13" x14ac:dyDescent="0.25">
      <c r="A99" s="34" t="s">
        <v>201</v>
      </c>
      <c r="B99" s="35"/>
      <c r="C99" s="49"/>
      <c r="D99" s="41" t="s">
        <v>138</v>
      </c>
      <c r="E99" s="30" t="s">
        <v>1</v>
      </c>
      <c r="F99" s="31">
        <v>0</v>
      </c>
      <c r="G99" s="36"/>
      <c r="H99" s="32"/>
      <c r="I99" s="37">
        <f>SUM(I100:I102)</f>
        <v>10033.106400000001</v>
      </c>
    </row>
    <row r="100" spans="1:13" ht="81" customHeight="1" x14ac:dyDescent="0.25">
      <c r="A100" s="42" t="s">
        <v>202</v>
      </c>
      <c r="B100" s="35" t="s">
        <v>3</v>
      </c>
      <c r="C100" s="49" t="s">
        <v>298</v>
      </c>
      <c r="D100" s="39" t="s">
        <v>299</v>
      </c>
      <c r="E100" s="30" t="s">
        <v>46</v>
      </c>
      <c r="F100" s="31">
        <v>3</v>
      </c>
      <c r="G100" s="36">
        <v>813.45</v>
      </c>
      <c r="H100" s="32">
        <f t="shared" si="2"/>
        <v>1056.18</v>
      </c>
      <c r="I100" s="40">
        <f>F100*H100</f>
        <v>3168.54</v>
      </c>
      <c r="J100">
        <v>3</v>
      </c>
      <c r="M100" s="5"/>
    </row>
    <row r="101" spans="1:13" ht="32.25" customHeight="1" x14ac:dyDescent="0.25">
      <c r="A101" s="42" t="s">
        <v>203</v>
      </c>
      <c r="B101" s="35" t="s">
        <v>3</v>
      </c>
      <c r="C101" s="49" t="s">
        <v>133</v>
      </c>
      <c r="D101" s="39" t="s">
        <v>134</v>
      </c>
      <c r="E101" s="30" t="s">
        <v>6</v>
      </c>
      <c r="F101" s="31">
        <v>14.4</v>
      </c>
      <c r="G101" s="36">
        <v>285.48</v>
      </c>
      <c r="H101" s="32">
        <f t="shared" si="2"/>
        <v>370.67</v>
      </c>
      <c r="I101" s="40">
        <f t="shared" ref="I101:I102" si="53">F101*H101</f>
        <v>5337.6480000000001</v>
      </c>
      <c r="J101" s="15">
        <f>(2*1.2)*6</f>
        <v>14.399999999999999</v>
      </c>
      <c r="K101" s="5"/>
    </row>
    <row r="102" spans="1:13" ht="33" customHeight="1" x14ac:dyDescent="0.25">
      <c r="A102" s="42" t="s">
        <v>204</v>
      </c>
      <c r="B102" s="35" t="s">
        <v>49</v>
      </c>
      <c r="C102" s="49" t="s">
        <v>50</v>
      </c>
      <c r="D102" s="39" t="s">
        <v>51</v>
      </c>
      <c r="E102" s="30" t="s">
        <v>128</v>
      </c>
      <c r="F102" s="31">
        <v>2.94</v>
      </c>
      <c r="G102" s="36">
        <v>400</v>
      </c>
      <c r="H102" s="32">
        <f t="shared" si="2"/>
        <v>519.36</v>
      </c>
      <c r="I102" s="40">
        <f t="shared" si="53"/>
        <v>1526.9184</v>
      </c>
      <c r="J102" s="5">
        <f>((0.2*0.9)*3)+((0.3*2)*4)</f>
        <v>2.94</v>
      </c>
    </row>
    <row r="103" spans="1:13" s="5" customFormat="1" x14ac:dyDescent="0.25">
      <c r="A103" s="34" t="s">
        <v>205</v>
      </c>
      <c r="B103" s="35"/>
      <c r="C103" s="49"/>
      <c r="D103" s="41" t="s">
        <v>83</v>
      </c>
      <c r="E103" s="30" t="s">
        <v>1</v>
      </c>
      <c r="F103" s="31">
        <v>0</v>
      </c>
      <c r="G103" s="36"/>
      <c r="H103" s="32"/>
      <c r="I103" s="37">
        <f>SUM(I104:I109)</f>
        <v>3072.92</v>
      </c>
    </row>
    <row r="104" spans="1:13" s="5" customFormat="1" ht="30" x14ac:dyDescent="0.25">
      <c r="A104" s="42" t="s">
        <v>206</v>
      </c>
      <c r="B104" s="35" t="s">
        <v>3</v>
      </c>
      <c r="C104" s="49" t="s">
        <v>85</v>
      </c>
      <c r="D104" s="39" t="s">
        <v>84</v>
      </c>
      <c r="E104" s="30" t="s">
        <v>46</v>
      </c>
      <c r="F104" s="31">
        <v>1</v>
      </c>
      <c r="G104" s="36">
        <v>883.66</v>
      </c>
      <c r="H104" s="32">
        <f t="shared" ref="H104:H107" si="54">ROUND(G104+(G104*$I$7),2)</f>
        <v>1147.3399999999999</v>
      </c>
      <c r="I104" s="40">
        <f t="shared" ref="I104:I107" si="55">F104*H104</f>
        <v>1147.3399999999999</v>
      </c>
      <c r="J104" s="5">
        <v>1</v>
      </c>
    </row>
    <row r="105" spans="1:13" s="5" customFormat="1" ht="30" x14ac:dyDescent="0.25">
      <c r="A105" s="42" t="s">
        <v>207</v>
      </c>
      <c r="B105" s="35" t="s">
        <v>3</v>
      </c>
      <c r="C105" s="49" t="s">
        <v>87</v>
      </c>
      <c r="D105" s="39" t="s">
        <v>86</v>
      </c>
      <c r="E105" s="30" t="s">
        <v>46</v>
      </c>
      <c r="F105" s="31">
        <v>1</v>
      </c>
      <c r="G105" s="36">
        <v>25.84</v>
      </c>
      <c r="H105" s="32">
        <f t="shared" si="54"/>
        <v>33.549999999999997</v>
      </c>
      <c r="I105" s="40">
        <f t="shared" si="55"/>
        <v>33.549999999999997</v>
      </c>
      <c r="J105" s="5">
        <v>1</v>
      </c>
    </row>
    <row r="106" spans="1:13" s="5" customFormat="1" ht="30" x14ac:dyDescent="0.25">
      <c r="A106" s="42" t="s">
        <v>208</v>
      </c>
      <c r="B106" s="35" t="s">
        <v>49</v>
      </c>
      <c r="C106" s="49" t="s">
        <v>89</v>
      </c>
      <c r="D106" s="39" t="s">
        <v>88</v>
      </c>
      <c r="E106" s="30" t="s">
        <v>46</v>
      </c>
      <c r="F106" s="31">
        <v>1</v>
      </c>
      <c r="G106" s="36">
        <v>12.14</v>
      </c>
      <c r="H106" s="32">
        <f t="shared" si="54"/>
        <v>15.76</v>
      </c>
      <c r="I106" s="40">
        <f t="shared" si="55"/>
        <v>15.76</v>
      </c>
      <c r="J106" s="15">
        <v>1</v>
      </c>
    </row>
    <row r="107" spans="1:13" s="5" customFormat="1" ht="30" x14ac:dyDescent="0.25">
      <c r="A107" s="42" t="s">
        <v>209</v>
      </c>
      <c r="B107" s="35" t="s">
        <v>49</v>
      </c>
      <c r="C107" s="49" t="s">
        <v>90</v>
      </c>
      <c r="D107" s="39" t="s">
        <v>91</v>
      </c>
      <c r="E107" s="30" t="s">
        <v>46</v>
      </c>
      <c r="F107" s="31">
        <v>1</v>
      </c>
      <c r="G107" s="36">
        <v>29.63</v>
      </c>
      <c r="H107" s="32">
        <f t="shared" si="54"/>
        <v>38.47</v>
      </c>
      <c r="I107" s="40">
        <f t="shared" si="55"/>
        <v>38.47</v>
      </c>
      <c r="J107" s="15">
        <v>1</v>
      </c>
    </row>
    <row r="108" spans="1:13" s="5" customFormat="1" ht="45" x14ac:dyDescent="0.25">
      <c r="A108" s="42" t="s">
        <v>210</v>
      </c>
      <c r="B108" s="35" t="s">
        <v>3</v>
      </c>
      <c r="C108" s="49" t="s">
        <v>247</v>
      </c>
      <c r="D108" s="39" t="s">
        <v>248</v>
      </c>
      <c r="E108" s="30" t="s">
        <v>14</v>
      </c>
      <c r="F108" s="31">
        <v>60</v>
      </c>
      <c r="G108" s="36">
        <v>14.79</v>
      </c>
      <c r="H108" s="32">
        <f t="shared" ref="H108:H109" si="56">ROUND(G108+(G108*$I$7),2)</f>
        <v>19.2</v>
      </c>
      <c r="I108" s="40">
        <f t="shared" ref="I108:I109" si="57">F108*H108</f>
        <v>1152</v>
      </c>
      <c r="J108" s="5">
        <f>10*6</f>
        <v>60</v>
      </c>
    </row>
    <row r="109" spans="1:13" s="5" customFormat="1" ht="45" x14ac:dyDescent="0.25">
      <c r="A109" s="42" t="s">
        <v>211</v>
      </c>
      <c r="B109" s="35" t="s">
        <v>3</v>
      </c>
      <c r="C109" s="49" t="s">
        <v>250</v>
      </c>
      <c r="D109" s="39" t="s">
        <v>249</v>
      </c>
      <c r="E109" s="30" t="s">
        <v>14</v>
      </c>
      <c r="F109" s="31">
        <v>30</v>
      </c>
      <c r="G109" s="36">
        <v>17.61</v>
      </c>
      <c r="H109" s="32">
        <f t="shared" si="56"/>
        <v>22.86</v>
      </c>
      <c r="I109" s="40">
        <f t="shared" si="57"/>
        <v>685.8</v>
      </c>
      <c r="J109" s="5">
        <f>5*6</f>
        <v>30</v>
      </c>
    </row>
    <row r="110" spans="1:13" x14ac:dyDescent="0.25">
      <c r="A110" s="34" t="s">
        <v>212</v>
      </c>
      <c r="B110" s="35"/>
      <c r="C110" s="49"/>
      <c r="D110" s="41" t="s">
        <v>57</v>
      </c>
      <c r="E110" s="30" t="s">
        <v>1</v>
      </c>
      <c r="F110" s="31">
        <v>0</v>
      </c>
      <c r="G110" s="36"/>
      <c r="H110" s="32"/>
      <c r="I110" s="37">
        <f>SUM(I111:I116)</f>
        <v>7119.36</v>
      </c>
    </row>
    <row r="111" spans="1:13" s="5" customFormat="1" ht="45" x14ac:dyDescent="0.25">
      <c r="A111" s="42" t="s">
        <v>213</v>
      </c>
      <c r="B111" s="35" t="s">
        <v>3</v>
      </c>
      <c r="C111" s="49" t="s">
        <v>143</v>
      </c>
      <c r="D111" s="39" t="s">
        <v>144</v>
      </c>
      <c r="E111" s="30" t="s">
        <v>59</v>
      </c>
      <c r="F111" s="31">
        <v>8</v>
      </c>
      <c r="G111" s="36">
        <v>112.83</v>
      </c>
      <c r="H111" s="32">
        <f t="shared" ref="H111:H116" si="58">ROUND(G111+(G111*$I$7),2)</f>
        <v>146.5</v>
      </c>
      <c r="I111" s="40">
        <f>F111*H111</f>
        <v>1172</v>
      </c>
      <c r="J111" s="5">
        <v>8</v>
      </c>
    </row>
    <row r="112" spans="1:13" s="5" customFormat="1" ht="45" x14ac:dyDescent="0.25">
      <c r="A112" s="42" t="s">
        <v>214</v>
      </c>
      <c r="B112" s="35" t="s">
        <v>3</v>
      </c>
      <c r="C112" s="49" t="s">
        <v>240</v>
      </c>
      <c r="D112" s="39" t="s">
        <v>241</v>
      </c>
      <c r="E112" s="30" t="s">
        <v>14</v>
      </c>
      <c r="F112" s="31">
        <v>300</v>
      </c>
      <c r="G112" s="36">
        <v>2.39</v>
      </c>
      <c r="H112" s="32">
        <f t="shared" si="58"/>
        <v>3.1</v>
      </c>
      <c r="I112" s="40">
        <f>F112*H112</f>
        <v>930</v>
      </c>
      <c r="J112" s="5">
        <v>300</v>
      </c>
    </row>
    <row r="113" spans="1:10" s="5" customFormat="1" ht="45" x14ac:dyDescent="0.25">
      <c r="A113" s="42" t="s">
        <v>215</v>
      </c>
      <c r="B113" s="35" t="s">
        <v>3</v>
      </c>
      <c r="C113" s="49" t="s">
        <v>61</v>
      </c>
      <c r="D113" s="39" t="s">
        <v>62</v>
      </c>
      <c r="E113" s="30" t="s">
        <v>14</v>
      </c>
      <c r="F113" s="31">
        <v>300</v>
      </c>
      <c r="G113" s="36">
        <v>3.52</v>
      </c>
      <c r="H113" s="32">
        <f t="shared" si="58"/>
        <v>4.57</v>
      </c>
      <c r="I113" s="40">
        <f t="shared" ref="I113:I116" si="59">F113*H113</f>
        <v>1371</v>
      </c>
      <c r="J113" s="5">
        <v>300</v>
      </c>
    </row>
    <row r="114" spans="1:10" s="5" customFormat="1" ht="45" x14ac:dyDescent="0.25">
      <c r="A114" s="42" t="s">
        <v>216</v>
      </c>
      <c r="B114" s="35" t="s">
        <v>3</v>
      </c>
      <c r="C114" s="49" t="s">
        <v>64</v>
      </c>
      <c r="D114" s="39" t="s">
        <v>65</v>
      </c>
      <c r="E114" s="30" t="s">
        <v>14</v>
      </c>
      <c r="F114" s="31">
        <v>300</v>
      </c>
      <c r="G114" s="36">
        <v>7.98</v>
      </c>
      <c r="H114" s="32">
        <f t="shared" si="58"/>
        <v>10.36</v>
      </c>
      <c r="I114" s="40">
        <f t="shared" si="59"/>
        <v>3108</v>
      </c>
      <c r="J114" s="5">
        <v>300</v>
      </c>
    </row>
    <row r="115" spans="1:10" s="5" customFormat="1" ht="45" x14ac:dyDescent="0.25">
      <c r="A115" s="42" t="s">
        <v>217</v>
      </c>
      <c r="B115" s="35" t="s">
        <v>3</v>
      </c>
      <c r="C115" s="49" t="s">
        <v>66</v>
      </c>
      <c r="D115" s="39" t="s">
        <v>67</v>
      </c>
      <c r="E115" s="30" t="s">
        <v>46</v>
      </c>
      <c r="F115" s="31">
        <v>12</v>
      </c>
      <c r="G115" s="36">
        <v>20.99</v>
      </c>
      <c r="H115" s="32">
        <f t="shared" si="58"/>
        <v>27.25</v>
      </c>
      <c r="I115" s="40">
        <f t="shared" si="59"/>
        <v>327</v>
      </c>
      <c r="J115" s="5">
        <v>12</v>
      </c>
    </row>
    <row r="116" spans="1:10" s="5" customFormat="1" ht="45" x14ac:dyDescent="0.25">
      <c r="A116" s="42" t="s">
        <v>252</v>
      </c>
      <c r="B116" s="35" t="s">
        <v>3</v>
      </c>
      <c r="C116" s="49" t="s">
        <v>145</v>
      </c>
      <c r="D116" s="39" t="s">
        <v>146</v>
      </c>
      <c r="E116" s="30" t="s">
        <v>46</v>
      </c>
      <c r="F116" s="31">
        <v>4</v>
      </c>
      <c r="G116" s="36">
        <v>40.700000000000003</v>
      </c>
      <c r="H116" s="32">
        <f t="shared" si="58"/>
        <v>52.84</v>
      </c>
      <c r="I116" s="40">
        <f t="shared" si="59"/>
        <v>211.36</v>
      </c>
      <c r="J116" s="5">
        <v>4</v>
      </c>
    </row>
    <row r="117" spans="1:10" s="5" customFormat="1" x14ac:dyDescent="0.25">
      <c r="A117" s="34" t="s">
        <v>218</v>
      </c>
      <c r="B117" s="35"/>
      <c r="C117" s="49"/>
      <c r="D117" s="41" t="s">
        <v>150</v>
      </c>
      <c r="E117" s="30" t="s">
        <v>1</v>
      </c>
      <c r="F117" s="31">
        <v>0</v>
      </c>
      <c r="G117" s="36"/>
      <c r="H117" s="32"/>
      <c r="I117" s="37">
        <f>SUM(I118:I124)</f>
        <v>16278.285599999999</v>
      </c>
    </row>
    <row r="118" spans="1:10" s="5" customFormat="1" ht="30" x14ac:dyDescent="0.25">
      <c r="A118" s="42" t="s">
        <v>219</v>
      </c>
      <c r="B118" s="35" t="s">
        <v>291</v>
      </c>
      <c r="C118" s="49" t="s">
        <v>296</v>
      </c>
      <c r="D118" s="39" t="s">
        <v>149</v>
      </c>
      <c r="E118" s="30" t="s">
        <v>6</v>
      </c>
      <c r="F118" s="31">
        <v>2.2200000000000002</v>
      </c>
      <c r="G118" s="36">
        <v>295.35000000000002</v>
      </c>
      <c r="H118" s="32">
        <f t="shared" ref="H118:H119" si="60">ROUND(G118+(G118*$I$7),2)</f>
        <v>383.48</v>
      </c>
      <c r="I118" s="40">
        <f>F118*H118</f>
        <v>851.32560000000012</v>
      </c>
      <c r="J118" s="13">
        <f>(3.7*0.6)</f>
        <v>2.2200000000000002</v>
      </c>
    </row>
    <row r="119" spans="1:10" s="5" customFormat="1" ht="60" x14ac:dyDescent="0.25">
      <c r="A119" s="42" t="s">
        <v>220</v>
      </c>
      <c r="B119" s="35" t="s">
        <v>3</v>
      </c>
      <c r="C119" s="49" t="s">
        <v>151</v>
      </c>
      <c r="D119" s="39" t="s">
        <v>152</v>
      </c>
      <c r="E119" s="30" t="s">
        <v>46</v>
      </c>
      <c r="F119" s="31">
        <v>2</v>
      </c>
      <c r="G119" s="36">
        <v>255.58</v>
      </c>
      <c r="H119" s="32">
        <f t="shared" si="60"/>
        <v>331.85</v>
      </c>
      <c r="I119" s="40">
        <f>F119*H119</f>
        <v>663.7</v>
      </c>
      <c r="J119" s="5">
        <v>2</v>
      </c>
    </row>
    <row r="120" spans="1:10" s="5" customFormat="1" ht="30" x14ac:dyDescent="0.25">
      <c r="A120" s="42" t="s">
        <v>221</v>
      </c>
      <c r="B120" s="35" t="s">
        <v>3</v>
      </c>
      <c r="C120" s="49" t="s">
        <v>153</v>
      </c>
      <c r="D120" s="39" t="s">
        <v>154</v>
      </c>
      <c r="E120" s="30" t="s">
        <v>46</v>
      </c>
      <c r="F120" s="31">
        <v>2</v>
      </c>
      <c r="G120" s="36">
        <v>7.37</v>
      </c>
      <c r="H120" s="32">
        <f t="shared" ref="H120:H121" si="61">ROUND(G120+(G120*$I$7),2)</f>
        <v>9.57</v>
      </c>
      <c r="I120" s="40">
        <f t="shared" ref="I120:I121" si="62">F120*H120</f>
        <v>19.14</v>
      </c>
      <c r="J120" s="5">
        <v>2</v>
      </c>
    </row>
    <row r="121" spans="1:10" s="5" customFormat="1" ht="45" x14ac:dyDescent="0.25">
      <c r="A121" s="42" t="s">
        <v>222</v>
      </c>
      <c r="B121" s="35" t="s">
        <v>3</v>
      </c>
      <c r="C121" s="49" t="s">
        <v>155</v>
      </c>
      <c r="D121" s="39" t="s">
        <v>156</v>
      </c>
      <c r="E121" s="30" t="s">
        <v>46</v>
      </c>
      <c r="F121" s="31">
        <v>2</v>
      </c>
      <c r="G121" s="36">
        <v>52.09</v>
      </c>
      <c r="H121" s="32">
        <f t="shared" si="61"/>
        <v>67.63</v>
      </c>
      <c r="I121" s="40">
        <f t="shared" si="62"/>
        <v>135.26</v>
      </c>
      <c r="J121" s="5">
        <v>2</v>
      </c>
    </row>
    <row r="122" spans="1:10" s="5" customFormat="1" ht="29.25" customHeight="1" x14ac:dyDescent="0.25">
      <c r="A122" s="42" t="s">
        <v>223</v>
      </c>
      <c r="B122" s="35" t="s">
        <v>3</v>
      </c>
      <c r="C122" s="49" t="s">
        <v>226</v>
      </c>
      <c r="D122" s="39" t="s">
        <v>227</v>
      </c>
      <c r="E122" s="30" t="s">
        <v>14</v>
      </c>
      <c r="F122" s="31">
        <v>18</v>
      </c>
      <c r="G122" s="36">
        <v>103.49</v>
      </c>
      <c r="H122" s="32">
        <f t="shared" ref="H122:H124" si="63">ROUND(G122+(G122*$I$7),2)</f>
        <v>134.37</v>
      </c>
      <c r="I122" s="40">
        <f t="shared" ref="I122:I124" si="64">F122*H122</f>
        <v>2418.66</v>
      </c>
      <c r="J122" s="15">
        <v>18</v>
      </c>
    </row>
    <row r="123" spans="1:10" s="5" customFormat="1" ht="60" x14ac:dyDescent="0.25">
      <c r="A123" s="42" t="s">
        <v>288</v>
      </c>
      <c r="B123" s="35" t="s">
        <v>3</v>
      </c>
      <c r="C123" s="49" t="s">
        <v>267</v>
      </c>
      <c r="D123" s="39" t="s">
        <v>268</v>
      </c>
      <c r="E123" s="30" t="s">
        <v>12</v>
      </c>
      <c r="F123" s="31">
        <v>4</v>
      </c>
      <c r="G123" s="36">
        <v>619.78</v>
      </c>
      <c r="H123" s="32">
        <f t="shared" si="63"/>
        <v>804.72</v>
      </c>
      <c r="I123" s="40">
        <f t="shared" si="64"/>
        <v>3218.88</v>
      </c>
      <c r="J123" s="15">
        <v>4</v>
      </c>
    </row>
    <row r="124" spans="1:10" s="5" customFormat="1" ht="78" customHeight="1" x14ac:dyDescent="0.25">
      <c r="A124" s="42" t="s">
        <v>289</v>
      </c>
      <c r="B124" s="35" t="s">
        <v>3</v>
      </c>
      <c r="C124" s="49" t="s">
        <v>269</v>
      </c>
      <c r="D124" s="39" t="s">
        <v>270</v>
      </c>
      <c r="E124" s="30" t="s">
        <v>14</v>
      </c>
      <c r="F124" s="31">
        <v>12</v>
      </c>
      <c r="G124" s="36">
        <v>575.79</v>
      </c>
      <c r="H124" s="32">
        <f t="shared" si="63"/>
        <v>747.61</v>
      </c>
      <c r="I124" s="40">
        <f t="shared" si="64"/>
        <v>8971.32</v>
      </c>
      <c r="J124" s="15">
        <v>12</v>
      </c>
    </row>
    <row r="125" spans="1:10" s="5" customFormat="1" x14ac:dyDescent="0.25">
      <c r="A125" s="34" t="s">
        <v>224</v>
      </c>
      <c r="B125" s="35"/>
      <c r="C125" s="49"/>
      <c r="D125" s="41" t="s">
        <v>69</v>
      </c>
      <c r="E125" s="30" t="s">
        <v>1</v>
      </c>
      <c r="F125" s="31">
        <v>0</v>
      </c>
      <c r="G125" s="36"/>
      <c r="H125" s="32"/>
      <c r="I125" s="37">
        <f>I126</f>
        <v>1836.6839999999997</v>
      </c>
    </row>
    <row r="126" spans="1:10" s="5" customFormat="1" x14ac:dyDescent="0.25">
      <c r="A126" s="42" t="s">
        <v>225</v>
      </c>
      <c r="B126" s="35" t="s">
        <v>291</v>
      </c>
      <c r="C126" s="49" t="s">
        <v>297</v>
      </c>
      <c r="D126" s="39" t="s">
        <v>71</v>
      </c>
      <c r="E126" s="30" t="s">
        <v>6</v>
      </c>
      <c r="F126" s="31">
        <v>293.39999999999998</v>
      </c>
      <c r="G126" s="36">
        <v>4.82</v>
      </c>
      <c r="H126" s="32">
        <f t="shared" ref="H126" si="65">ROUND(G126+(G126*$I$7),2)</f>
        <v>6.26</v>
      </c>
      <c r="I126" s="40">
        <f>F126*H126</f>
        <v>1836.6839999999997</v>
      </c>
      <c r="J126" s="8">
        <f>146.7*2</f>
        <v>293.39999999999998</v>
      </c>
    </row>
    <row r="127" spans="1:10" s="5" customFormat="1" x14ac:dyDescent="0.25">
      <c r="A127" s="16"/>
      <c r="B127" s="16"/>
      <c r="C127" s="16"/>
      <c r="D127" s="16"/>
      <c r="E127" s="16"/>
      <c r="F127" s="16"/>
      <c r="G127" s="16"/>
      <c r="H127" s="16"/>
      <c r="I127" s="16"/>
    </row>
    <row r="128" spans="1:10" s="5" customFormat="1" x14ac:dyDescent="0.25">
      <c r="A128" s="67" t="s">
        <v>302</v>
      </c>
      <c r="B128" s="66"/>
      <c r="C128" s="66"/>
      <c r="D128" s="66"/>
      <c r="E128" s="66"/>
      <c r="F128" s="66"/>
      <c r="G128" s="66"/>
      <c r="H128" s="66"/>
      <c r="I128" s="66"/>
    </row>
    <row r="129" spans="1:9" s="5" customFormat="1" x14ac:dyDescent="0.25">
      <c r="A129" s="66"/>
      <c r="B129" s="66"/>
      <c r="C129" s="66"/>
      <c r="D129" s="66"/>
      <c r="E129" s="66"/>
      <c r="F129" s="66"/>
      <c r="G129" s="66"/>
      <c r="H129" s="66"/>
      <c r="I129" s="66"/>
    </row>
    <row r="130" spans="1:9" s="5" customFormat="1" x14ac:dyDescent="0.25">
      <c r="A130" s="66"/>
      <c r="B130" s="66"/>
      <c r="C130" s="66"/>
      <c r="D130" s="66"/>
      <c r="E130" s="66"/>
      <c r="F130" s="66"/>
      <c r="G130" s="66"/>
      <c r="H130" s="66"/>
      <c r="I130" s="66"/>
    </row>
    <row r="131" spans="1:9" ht="218.25" customHeight="1" x14ac:dyDescent="0.25">
      <c r="A131" s="66"/>
      <c r="B131" s="66"/>
      <c r="C131" s="66"/>
      <c r="D131" s="66"/>
      <c r="E131" s="66"/>
      <c r="F131" s="66"/>
      <c r="G131" s="66"/>
      <c r="H131" s="66"/>
      <c r="I131" s="66"/>
    </row>
    <row r="132" spans="1:9" ht="15.75" x14ac:dyDescent="0.25">
      <c r="A132" s="46" t="s">
        <v>259</v>
      </c>
      <c r="B132" s="16"/>
      <c r="C132" s="16"/>
      <c r="D132" s="16"/>
      <c r="E132" s="60" t="s">
        <v>260</v>
      </c>
      <c r="F132" s="60"/>
      <c r="G132" s="60"/>
      <c r="H132" s="60"/>
      <c r="I132" s="16"/>
    </row>
    <row r="133" spans="1:9" ht="15.75" x14ac:dyDescent="0.25">
      <c r="A133" s="46" t="s">
        <v>82</v>
      </c>
      <c r="B133" s="16"/>
      <c r="C133" s="16"/>
      <c r="D133" s="16"/>
      <c r="E133" s="60" t="s">
        <v>261</v>
      </c>
      <c r="F133" s="60"/>
      <c r="G133" s="60"/>
      <c r="H133" s="60"/>
      <c r="I133" s="45"/>
    </row>
    <row r="134" spans="1:9" ht="15.75" x14ac:dyDescent="0.25">
      <c r="A134" s="46" t="s">
        <v>300</v>
      </c>
      <c r="B134" s="16"/>
      <c r="C134" s="16"/>
      <c r="D134" s="16"/>
      <c r="E134" s="16"/>
      <c r="F134" s="16"/>
      <c r="G134" s="16"/>
      <c r="H134" s="16"/>
      <c r="I134" s="16"/>
    </row>
    <row r="135" spans="1:9" x14ac:dyDescent="0.25">
      <c r="A135" s="16"/>
      <c r="B135" s="16"/>
      <c r="C135" s="16"/>
      <c r="D135" s="16"/>
      <c r="E135" s="16"/>
      <c r="F135" s="16"/>
      <c r="G135" s="16"/>
      <c r="H135" s="16"/>
      <c r="I135" s="16"/>
    </row>
  </sheetData>
  <mergeCells count="10">
    <mergeCell ref="A1:I1"/>
    <mergeCell ref="A6:I6"/>
    <mergeCell ref="E132:H132"/>
    <mergeCell ref="E133:H133"/>
    <mergeCell ref="A2:I2"/>
    <mergeCell ref="A4:I4"/>
    <mergeCell ref="A5:I5"/>
    <mergeCell ref="A7:G7"/>
    <mergeCell ref="A3:I3"/>
    <mergeCell ref="A128:I131"/>
  </mergeCells>
  <pageMargins left="0.51181102362204722" right="0.51181102362204722" top="0.78740157480314965" bottom="0.78740157480314965" header="0.31496062992125984" footer="0.31496062992125984"/>
  <pageSetup paperSize="9" scale="65" orientation="portrait" r:id="rId1"/>
  <ignoredErrors>
    <ignoredError sqref="I23 J81" formula="1"/>
    <ignoredError sqref="C23 C1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</dc:creator>
  <cp:lastModifiedBy>Município</cp:lastModifiedBy>
  <cp:lastPrinted>2021-09-01T18:08:43Z</cp:lastPrinted>
  <dcterms:created xsi:type="dcterms:W3CDTF">2019-06-10T18:07:57Z</dcterms:created>
  <dcterms:modified xsi:type="dcterms:W3CDTF">2021-09-21T11:50:26Z</dcterms:modified>
</cp:coreProperties>
</file>